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hr.disk.aber.ac.uk\shared\ABW Planning Metrics and Systems\Annual Leave\Annual Leave Calculators\"/>
    </mc:Choice>
  </mc:AlternateContent>
  <xr:revisionPtr revIDLastSave="0" documentId="13_ncr:1_{74D94F28-C9E3-4D78-8560-1AE8E571EDFD}" xr6:coauthVersionLast="47" xr6:coauthVersionMax="47" xr10:uidLastSave="{00000000-0000-0000-0000-000000000000}"/>
  <bookViews>
    <workbookView xWindow="3615" yWindow="4965" windowWidth="28800" windowHeight="15435" xr2:uid="{00000000-000D-0000-FFFF-FFFF00000000}"/>
  </bookViews>
  <sheets>
    <sheet name="Enter_Hours" sheetId="11" r:id="rId1"/>
    <sheet name="Enter_daily_hours" sheetId="12" r:id="rId2"/>
    <sheet name="Gwerth - Final" sheetId="10" r:id="rId3"/>
    <sheet name="Calculations" sheetId="3" state="hidden" r:id="rId4"/>
  </sheets>
  <definedNames>
    <definedName name="daysofweek">Calculations!$O$20:$P$24</definedName>
    <definedName name="dow_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G18" i="12"/>
  <c r="F18" i="12" s="1"/>
  <c r="F17" i="3"/>
  <c r="G17" i="3"/>
  <c r="G7" i="12"/>
  <c r="G8" i="12"/>
  <c r="G9" i="12"/>
  <c r="G10" i="12"/>
  <c r="G11" i="12"/>
  <c r="G12" i="12"/>
  <c r="G13" i="12"/>
  <c r="G14" i="12"/>
  <c r="G15" i="12"/>
  <c r="G16" i="12"/>
  <c r="G17" i="12"/>
  <c r="G6" i="12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7" i="3"/>
  <c r="C11" i="3"/>
  <c r="C8" i="3"/>
  <c r="C5" i="3"/>
  <c r="E5" i="3" s="1"/>
  <c r="C4" i="3"/>
  <c r="C6" i="3" l="1"/>
  <c r="F16" i="12"/>
  <c r="H16" i="3"/>
  <c r="F15" i="12"/>
  <c r="F13" i="12"/>
  <c r="F9" i="12"/>
  <c r="C14" i="3"/>
  <c r="F7" i="12"/>
  <c r="F11" i="12"/>
  <c r="F8" i="12"/>
  <c r="F10" i="12"/>
  <c r="F14" i="12"/>
  <c r="F17" i="12"/>
  <c r="F12" i="12"/>
  <c r="F6" i="12"/>
  <c r="H15" i="3"/>
  <c r="H11" i="3"/>
  <c r="J29" i="3"/>
  <c r="K29" i="3" s="1"/>
  <c r="H15" i="12" s="1"/>
  <c r="J28" i="3"/>
  <c r="K28" i="3" s="1"/>
  <c r="C15" i="12" l="1"/>
  <c r="B28" i="3"/>
  <c r="H14" i="12"/>
  <c r="C14" i="12" s="1"/>
  <c r="B29" i="3"/>
  <c r="E28" i="3" l="1"/>
  <c r="F28" i="3" s="1"/>
  <c r="E29" i="3"/>
  <c r="F29" i="3" s="1"/>
  <c r="E20" i="3"/>
  <c r="F20" i="3" s="1"/>
  <c r="J20" i="3" l="1"/>
  <c r="K20" i="3" l="1"/>
  <c r="H6" i="12" s="1"/>
  <c r="C6" i="12" s="1"/>
  <c r="C33" i="3"/>
  <c r="C16" i="10" l="1"/>
  <c r="G16" i="10"/>
  <c r="F37" i="3"/>
  <c r="G10" i="10" s="1"/>
  <c r="C37" i="3"/>
  <c r="J32" i="3" l="1"/>
  <c r="K32" i="3" s="1"/>
  <c r="H18" i="12" s="1"/>
  <c r="C18" i="12" s="1"/>
  <c r="J31" i="3"/>
  <c r="K31" i="3" s="1"/>
  <c r="H17" i="12" s="1"/>
  <c r="C17" i="12" s="1"/>
  <c r="J30" i="3"/>
  <c r="K30" i="3" s="1"/>
  <c r="H16" i="12" s="1"/>
  <c r="C16" i="12" s="1"/>
  <c r="J27" i="3"/>
  <c r="K27" i="3" s="1"/>
  <c r="H13" i="12" s="1"/>
  <c r="C13" i="12" s="1"/>
  <c r="J26" i="3"/>
  <c r="K26" i="3" s="1"/>
  <c r="H12" i="12" s="1"/>
  <c r="C12" i="12" s="1"/>
  <c r="J25" i="3"/>
  <c r="K25" i="3" s="1"/>
  <c r="H11" i="12" s="1"/>
  <c r="C11" i="12" s="1"/>
  <c r="J24" i="3"/>
  <c r="K24" i="3" s="1"/>
  <c r="H10" i="12" s="1"/>
  <c r="C10" i="12" s="1"/>
  <c r="J23" i="3"/>
  <c r="K23" i="3" s="1"/>
  <c r="H9" i="12" s="1"/>
  <c r="C9" i="12" s="1"/>
  <c r="J22" i="3"/>
  <c r="K22" i="3" s="1"/>
  <c r="H8" i="12" s="1"/>
  <c r="C8" i="12" s="1"/>
  <c r="J21" i="3"/>
  <c r="K21" i="3" s="1"/>
  <c r="H7" i="12" s="1"/>
  <c r="C7" i="12" s="1"/>
  <c r="G16" i="3" l="1"/>
  <c r="I16" i="3" s="1"/>
  <c r="G15" i="3"/>
  <c r="B32" i="3"/>
  <c r="B31" i="3"/>
  <c r="B30" i="3"/>
  <c r="B26" i="3"/>
  <c r="B25" i="3"/>
  <c r="B24" i="3"/>
  <c r="B23" i="3"/>
  <c r="B22" i="3"/>
  <c r="B21" i="3"/>
  <c r="B20" i="3"/>
  <c r="E24" i="3"/>
  <c r="F24" i="3" s="1"/>
  <c r="E32" i="3"/>
  <c r="F32" i="3" s="1"/>
  <c r="E26" i="3"/>
  <c r="F26" i="3" s="1"/>
  <c r="E22" i="3"/>
  <c r="F22" i="3" s="1"/>
  <c r="E30" i="3"/>
  <c r="F30" i="3" s="1"/>
  <c r="E21" i="3"/>
  <c r="F21" i="3" s="1"/>
  <c r="E23" i="3"/>
  <c r="F23" i="3" s="1"/>
  <c r="E25" i="3"/>
  <c r="F25" i="3" s="1"/>
  <c r="E27" i="3"/>
  <c r="F27" i="3" s="1"/>
  <c r="E31" i="3"/>
  <c r="F31" i="3" s="1"/>
  <c r="I15" i="3" l="1"/>
  <c r="C15" i="3"/>
  <c r="B27" i="3"/>
  <c r="C10" i="10"/>
  <c r="F41" i="3" l="1"/>
  <c r="G12" i="3"/>
  <c r="C41" i="3"/>
  <c r="C4" i="10" s="1"/>
  <c r="G4" i="10"/>
  <c r="F33" i="3"/>
  <c r="C34" i="3" s="1"/>
  <c r="C36" i="3" l="1"/>
  <c r="C39" i="3" s="1"/>
  <c r="F36" i="3"/>
  <c r="F39" i="3" s="1"/>
  <c r="F43" i="3" s="1"/>
  <c r="F45" i="3" s="1"/>
  <c r="C43" i="3" l="1"/>
  <c r="C45" i="3" s="1"/>
  <c r="C19" i="10" s="1"/>
  <c r="G7" i="10"/>
  <c r="C13" i="10"/>
  <c r="C7" i="10"/>
  <c r="G13" i="10"/>
  <c r="G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Chris Swales </author>
  </authors>
  <commentList>
    <comment ref="I6" authorId="0" shapeId="0" xr:uid="{D21A4B8D-6B5C-4C5C-99A1-468973FB1289}">
      <text>
        <r>
          <rPr>
            <sz val="9"/>
            <color indexed="81"/>
            <rFont val="Tahoma"/>
            <family val="2"/>
          </rPr>
          <t xml:space="preserve">
Os ydych yn gweithio oriau neu diwrnodau amrywiol bob wythnos, rhowch 7.3 yn erbyn bob Gŵyl y Banc/Diwrnod mae’r Brifysgol Ar Gau sydd yn eich amserlen gwaith.
Os ydych yn gweithio diwrnodau ac oriau penodol bob wythnos, megis 4.25 awr ddydd Llun, 5 awr ddydd Mawrth a 4 awr ddydd Gwener, rhowch eich oriau gwaith yn erbyn y diwrnodau GB/DBAG hynny.
Gadewch y cell yn wag os nac ydych yn gweithio y dydd o’r wythnos hwnnw.
DS:  Y dull cyfrifo munudau fel degolyn yw rhannu'r munudau gyda 60 (munud) fel y ganlyn
</t>
        </r>
        <r>
          <rPr>
            <b/>
            <sz val="9"/>
            <color indexed="81"/>
            <rFont val="Tahoma"/>
            <family val="2"/>
          </rPr>
          <t xml:space="preserve">15 munud / 60 = 0.25 awr
</t>
        </r>
        <r>
          <rPr>
            <sz val="9"/>
            <color indexed="81"/>
            <rFont val="Tahoma"/>
            <family val="2"/>
          </rPr>
          <t xml:space="preserve">
If your working hours or days vary in length each week, please enter 7.3 hours against the bank holidays/closed days that fall within your work
schedule.
If you work specific hours and days each week, such as 4.25 hours on Monday, 5 hours on Tuesday &amp; 4 hours on Friday, enter your normal working hours against the BH/CD on those days.
Leave the cell blank if you do not normally work that day of the week.
NB: Minutes are divided by 60 (minutes) to determine the Time as a decimal point as below
</t>
        </r>
        <r>
          <rPr>
            <b/>
            <sz val="9"/>
            <color indexed="81"/>
            <rFont val="Tahoma"/>
            <family val="2"/>
          </rPr>
          <t>15 minutes /60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b/>
            <sz val="9"/>
            <color indexed="81"/>
            <rFont val="Tahoma"/>
            <family val="2"/>
          </rPr>
          <t>0.25 hour</t>
        </r>
      </text>
    </comment>
  </commentList>
</comments>
</file>

<file path=xl/sharedStrings.xml><?xml version="1.0" encoding="utf-8"?>
<sst xmlns="http://schemas.openxmlformats.org/spreadsheetml/2006/main" count="144" uniqueCount="96">
  <si>
    <t>Rhowch oriau wythnosol</t>
  </si>
  <si>
    <t>Enter weekly hours</t>
  </si>
  <si>
    <t>Annualised Hours</t>
  </si>
  <si>
    <t>Rhowch ddyddiad dechrau flwyddyn wyliau</t>
  </si>
  <si>
    <t>Enter leave year start date</t>
  </si>
  <si>
    <t>Rhowch ddyddiad diwedd y flwyddyn wyliau</t>
  </si>
  <si>
    <t>Enter leave year end date</t>
  </si>
  <si>
    <t xml:space="preserve">Rhowch oriau i gario ymlaen </t>
  </si>
  <si>
    <t>Enter carry forward hours</t>
  </si>
  <si>
    <t>Bank Holiday / Closed Day work pattern</t>
  </si>
  <si>
    <t>Hawl Gwyliau Blynyddol</t>
  </si>
  <si>
    <t>Annual Leave Entitlement</t>
  </si>
  <si>
    <r>
      <t>Hawl Gwyliau G</t>
    </r>
    <r>
      <rPr>
        <sz val="11"/>
        <color theme="1"/>
        <rFont val="Calibri"/>
        <family val="2"/>
      </rPr>
      <t>ŵyl y Banc</t>
    </r>
  </si>
  <si>
    <t>Bank Holiday Entitlement</t>
  </si>
  <si>
    <r>
      <t>Defnydd G</t>
    </r>
    <r>
      <rPr>
        <sz val="11"/>
        <color theme="1"/>
        <rFont val="Calibri"/>
        <family val="2"/>
      </rPr>
      <t>ŵyl y Banc</t>
    </r>
  </si>
  <si>
    <t>Bank Holiday Usage</t>
  </si>
  <si>
    <r>
      <t>Defnydd G</t>
    </r>
    <r>
      <rPr>
        <sz val="11"/>
        <color theme="1"/>
        <rFont val="Calibri"/>
        <family val="2"/>
      </rPr>
      <t>ŵyl y Banc / Addasiad i'r hawl</t>
    </r>
  </si>
  <si>
    <t>Bank Holiday Usage / Entitlement Adjustment</t>
  </si>
  <si>
    <t>Balans a ddygwyd ymlaen</t>
  </si>
  <si>
    <t>Carried forward balance</t>
  </si>
  <si>
    <t>Fy hawl i wyliau blynyddol</t>
  </si>
  <si>
    <t>My Annual Leave Entitlement</t>
  </si>
  <si>
    <t xml:space="preserve">Cyfrifiadau / Calculations </t>
  </si>
  <si>
    <t>Cam 1 / Step 1</t>
  </si>
  <si>
    <t>Oriau dan Gontract / Contracted Hours</t>
  </si>
  <si>
    <t>FTE</t>
  </si>
  <si>
    <t>Cyfwerth ag amser llawn / FTE</t>
  </si>
  <si>
    <t>Cam 2 / Step 2</t>
  </si>
  <si>
    <t>Rhowch ddyddiad dechrau flwyddyn wyliau / Enter Leave Year start date</t>
  </si>
  <si>
    <t>(i.e. 01/01/2015)</t>
  </si>
  <si>
    <t>Cam 3 / Step 3</t>
  </si>
  <si>
    <t>Rhowch ddyddiad diwedd y flwyddyn wyliau / Enter Annual Leave Year end date</t>
  </si>
  <si>
    <t>(i.e. 31/12/2015)</t>
  </si>
  <si>
    <t>Diwrnodau gwaith / Working Days</t>
  </si>
  <si>
    <t>Cyfran y diwrnodau a weithiwyd / Proportion of days worked</t>
  </si>
  <si>
    <t>Cam 4 / Step 4</t>
  </si>
  <si>
    <t>oriau i fynd ymlaen / Carry Forward hours</t>
  </si>
  <si>
    <t>Cam 5 / Step 5</t>
  </si>
  <si>
    <t>Gŵyl y banc/ Patrwm gwaith diwrnod mae’r Brifysgol ar gau; Bank Holiday / Closed Day Work Pattern</t>
  </si>
  <si>
    <t>Actual based on Work Pattern</t>
  </si>
  <si>
    <t>FTE Entitlement</t>
  </si>
  <si>
    <t>Date</t>
  </si>
  <si>
    <t>Type</t>
  </si>
  <si>
    <t>(i.e. 7.5 (hours), 6.5 (hours), 7.3 (hours)</t>
  </si>
  <si>
    <t>PH</t>
  </si>
  <si>
    <t>Gwyliau cyhoeddus / Public Holiday</t>
  </si>
  <si>
    <t>Dydd Llun / Monday</t>
  </si>
  <si>
    <t>Dydd Mawrth / Tuesday</t>
  </si>
  <si>
    <t>Dydd Mercher / Wednesday</t>
  </si>
  <si>
    <t>CD</t>
  </si>
  <si>
    <t>Diwrnod ar gau / Closed Day</t>
  </si>
  <si>
    <t>Dydd Iau  / Thursday</t>
  </si>
  <si>
    <t>Dydd Gwener / Friday</t>
  </si>
  <si>
    <t>Defnydd Gŵyl y Banc / Bank Holiday usage</t>
  </si>
  <si>
    <t>Totals</t>
  </si>
  <si>
    <t>Bank Holiday Entitlement if ProRatad</t>
  </si>
  <si>
    <t>Hawl  / Entitlement</t>
  </si>
  <si>
    <t>Hawl i Wyliau Banc &amp; Hawl i wyliau Blynyddol; Bank Holidays &amp; Annual Leave Entitlement</t>
  </si>
  <si>
    <t>Defnydd Gŵyl y Banc &amp; Hawl i wyliau Blynyddol; Bank Holidays &amp; Annual Leave Usage</t>
  </si>
  <si>
    <t>Gwyliau cyhoeddus / Defnydd Gŵyl y Banc Yn erbyn Hawl ;  BH CD Usage vs Entitlement</t>
  </si>
  <si>
    <t>Hawl i wyliau Blynyddol / Annual Leave Entitlement</t>
  </si>
  <si>
    <t>Hawl i wyliau Blynyddol / Hawl i Wyliau Banc;  Annual leave entitlement / BH adjustment</t>
  </si>
  <si>
    <t>Cyfanswm / Total</t>
  </si>
  <si>
    <t>annual entitlement in hours x working days in hours</t>
  </si>
  <si>
    <t>average working day = hours worked per week / days worked in week</t>
  </si>
  <si>
    <t xml:space="preserve">leave entitlement for full year </t>
  </si>
  <si>
    <t>Days in Year Full</t>
  </si>
  <si>
    <t>FTE * 197.1</t>
  </si>
  <si>
    <t>Days Diff +1</t>
  </si>
  <si>
    <t>Days Diff / Year * FTE</t>
  </si>
  <si>
    <t>Neu / Or</t>
  </si>
  <si>
    <t xml:space="preserve">Patrwm gwaith Gŵyl y Banc / Diwrnod mae’r Brifysgol ar gau </t>
  </si>
  <si>
    <t>NEU</t>
  </si>
  <si>
    <t>/ OR</t>
  </si>
  <si>
    <t>Cytundeb Oriau Wythnosol  / Weekly Hours Contract</t>
  </si>
  <si>
    <t>Cytundeb Oriau Blynyddol / Annualised Hours Contract</t>
  </si>
  <si>
    <t>Yr hawl gwyliau blynyddol llawn amser yw 197.1 awr.  Cyfrifir pob hawl pro-rata yn seiliedig ar eich oriau gwaith.
The full time Annual Leave entitlement is 197.1 hours.   All entitlements will be pro-rata based on your hours of work</t>
  </si>
  <si>
    <t>Yr hawl GB/DBAG llawn amser yn 2024 yw 94.9 awr.  Cyfrifir pob hawl pro-rata yn seiliedig ar eich oriau gwaith.
The full time BH/CD entitlement for 2024 is 94.9 hours.   All entitlements will be pro-rata based on your hours of work</t>
  </si>
  <si>
    <t>Gofynnir i bob aelod staff sy’n gweithio Gwyliau Banc bwcio’r diwrnodau hyn fel gwyliau blynyddol.
All individuals who work bank holidays will be required to book these days as annual leave.</t>
  </si>
  <si>
    <t>Noder:  dangosir defnydd o Wyliau Banc/Diwrnodau Ar Gau dim ond ar ôl i chi roi oriau gwaith ar y sgrin blaenorol.
Please note: bank holiday/closed day usage will be only displayed if working hours are entered on the previous screen.</t>
  </si>
  <si>
    <t>Noder:  dangosir addasiad dim ond ar ôl i chi roi diwrnodau ac oriau gwaith ar y sgrin blaenorol.
Please note: an adjustment will only be displayed if working days and hours are entered on the previous screen</t>
  </si>
  <si>
    <t xml:space="preserve"> If your weekly hours vary, input your annual hours when using the calculator.</t>
  </si>
  <si>
    <t>Os yw eich oriau wythnosol yn amrywio yna dylech fewnbynnu eich oriau blynyddol wrth ddefnyddio'r cyfrifiannell.</t>
  </si>
  <si>
    <t>DS:  Pan na gyflwynir unrhyw batrwm gwaith, bydd gwyliau blynyddol, Gŵyl y Banc a hawl gwyliau cyhoeddus yn cael eu grwpio gyda'i gilydd.</t>
  </si>
  <si>
    <t>NB: When no work pattern is submitted, Annual Leave, Bank Holiday &amp; Public Holiday entitlement will be grouped.</t>
  </si>
  <si>
    <t>Oriau blynyddol</t>
  </si>
  <si>
    <t xml:space="preserve"> h.y. 7.3 (awr) / i.e. 7.3 (hours)</t>
  </si>
  <si>
    <t>NB: Normally 01/01/2026, unless role started part-year.</t>
  </si>
  <si>
    <t>DS:  31/12/2026 fel arfer, oni bai dechreuodd y swydd y flwyddyn ddiwethaf.</t>
  </si>
  <si>
    <t>NB: Normally 31/12/2026, unless role ended part-year.</t>
  </si>
  <si>
    <t>2026 Cyfanswm / Entitlement 2026</t>
  </si>
  <si>
    <t>DS:  01/01/2026 fel arfer, oni bai dechreuodd y swydd y flwyddyn ddiwethaf.</t>
  </si>
  <si>
    <t>2026 Addasiad GB/DAG   -   BH/CD Adjustment 2026</t>
  </si>
  <si>
    <t>2026 Entitlement / Cyfanswm 2026</t>
  </si>
  <si>
    <t>Cliciwch ar / Click on Gwerth - Final</t>
  </si>
  <si>
    <t>Cliciwch ar/Click on Enter_daily_hours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</si>
</sst>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B0C0C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4" fontId="0" fillId="2" borderId="0" xfId="0" applyNumberFormat="1" applyFill="1"/>
    <xf numFmtId="0" fontId="7" fillId="0" borderId="0" xfId="0" applyFont="1" applyAlignment="1">
      <alignment vertical="center" wrapText="1"/>
    </xf>
    <xf numFmtId="14" fontId="2" fillId="2" borderId="0" xfId="0" applyNumberFormat="1" applyFont="1" applyFill="1"/>
    <xf numFmtId="0" fontId="0" fillId="4" borderId="1" xfId="0" applyFill="1" applyBorder="1" applyAlignment="1" applyProtection="1">
      <alignment horizontal="center"/>
      <protection locked="0"/>
    </xf>
    <xf numFmtId="0" fontId="10" fillId="2" borderId="0" xfId="0" applyFont="1" applyFill="1"/>
    <xf numFmtId="2" fontId="0" fillId="2" borderId="0" xfId="0" applyNumberFormat="1" applyFill="1"/>
    <xf numFmtId="2" fontId="0" fillId="2" borderId="0" xfId="0" applyNumberFormat="1" applyFill="1" applyAlignment="1">
      <alignment horizontal="center" vertical="center"/>
    </xf>
    <xf numFmtId="0" fontId="12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10" fillId="2" borderId="0" xfId="0" applyNumberFormat="1" applyFont="1" applyFill="1"/>
    <xf numFmtId="0" fontId="10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0" fontId="12" fillId="0" borderId="0" xfId="0" applyFont="1"/>
    <xf numFmtId="0" fontId="5" fillId="0" borderId="0" xfId="2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2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0" borderId="7" xfId="0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5" xfId="0" applyFill="1" applyBorder="1"/>
    <xf numFmtId="0" fontId="0" fillId="2" borderId="16" xfId="0" applyFill="1" applyBorder="1"/>
    <xf numFmtId="2" fontId="12" fillId="2" borderId="9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10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6" fillId="2" borderId="0" xfId="2" applyFont="1" applyFill="1" applyAlignment="1" applyProtection="1">
      <alignment wrapText="1"/>
      <protection locked="0"/>
    </xf>
    <xf numFmtId="0" fontId="17" fillId="2" borderId="0" xfId="2" applyFont="1" applyFill="1" applyAlignment="1" applyProtection="1">
      <alignment wrapText="1"/>
      <protection locked="0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395C-3A60-4EB0-BCA1-C791817967C0}">
  <dimension ref="A1:M21"/>
  <sheetViews>
    <sheetView tabSelected="1" workbookViewId="0">
      <selection activeCell="C4" sqref="C4"/>
    </sheetView>
  </sheetViews>
  <sheetFormatPr defaultColWidth="8.85546875" defaultRowHeight="15" x14ac:dyDescent="0.25"/>
  <cols>
    <col min="1" max="1" width="8.85546875" style="2"/>
    <col min="2" max="2" width="39.28515625" style="2" bestFit="1" customWidth="1"/>
    <col min="3" max="3" width="18" style="2" customWidth="1"/>
    <col min="4" max="4" width="6" style="2" customWidth="1"/>
    <col min="5" max="11" width="8.85546875" style="2"/>
    <col min="12" max="12" width="9.7109375" style="2" customWidth="1"/>
    <col min="13" max="13" width="1.7109375" style="2" customWidth="1"/>
    <col min="14" max="16384" width="8.85546875" style="2"/>
  </cols>
  <sheetData>
    <row r="1" spans="1:13" ht="33.75" x14ac:dyDescent="0.5">
      <c r="A1" s="55" t="s">
        <v>90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x14ac:dyDescent="0.25">
      <c r="A2" s="9"/>
      <c r="B2" s="9"/>
      <c r="C2" s="24"/>
      <c r="D2" s="24"/>
      <c r="E2" s="9"/>
      <c r="F2" s="9"/>
      <c r="G2" s="9"/>
      <c r="H2" s="9"/>
      <c r="I2" s="9"/>
      <c r="J2" s="9"/>
      <c r="K2" s="9"/>
      <c r="L2" s="9"/>
      <c r="M2" s="9"/>
    </row>
    <row r="3" spans="1:13" ht="15.75" thickBot="1" x14ac:dyDescent="0.3">
      <c r="A3" s="9"/>
      <c r="B3" s="22" t="s">
        <v>0</v>
      </c>
      <c r="C3" s="24"/>
      <c r="D3" s="24"/>
      <c r="E3" s="9"/>
      <c r="F3" s="9"/>
      <c r="G3" s="9"/>
      <c r="H3" s="9"/>
      <c r="I3" s="9"/>
      <c r="J3" s="9"/>
      <c r="K3" s="9"/>
      <c r="L3" s="9"/>
      <c r="M3" s="9"/>
    </row>
    <row r="4" spans="1:13" ht="15.75" thickBot="1" x14ac:dyDescent="0.3">
      <c r="A4" s="9"/>
      <c r="B4" s="12" t="s">
        <v>1</v>
      </c>
      <c r="C4" s="42"/>
      <c r="D4" s="24"/>
      <c r="E4" s="56" t="s">
        <v>82</v>
      </c>
      <c r="F4" s="57"/>
      <c r="G4" s="57"/>
      <c r="H4" s="57"/>
      <c r="I4" s="57"/>
      <c r="J4" s="57"/>
      <c r="K4" s="57"/>
      <c r="L4" s="58"/>
      <c r="M4" s="9"/>
    </row>
    <row r="5" spans="1:13" x14ac:dyDescent="0.25">
      <c r="A5" s="9"/>
      <c r="B5" s="9"/>
      <c r="C5" s="71" t="s">
        <v>70</v>
      </c>
      <c r="D5" s="15"/>
      <c r="E5" s="59"/>
      <c r="F5" s="60"/>
      <c r="G5" s="60"/>
      <c r="H5" s="60"/>
      <c r="I5" s="60"/>
      <c r="J5" s="60"/>
      <c r="K5" s="60"/>
      <c r="L5" s="61"/>
      <c r="M5" s="9"/>
    </row>
    <row r="6" spans="1:13" ht="15.75" thickBot="1" x14ac:dyDescent="0.3">
      <c r="A6" s="9"/>
      <c r="B6" s="12" t="s">
        <v>85</v>
      </c>
      <c r="C6" s="72"/>
      <c r="D6" s="15"/>
      <c r="E6" s="52"/>
      <c r="F6" s="53"/>
      <c r="G6" s="53"/>
      <c r="H6" s="53"/>
      <c r="I6" s="53"/>
      <c r="J6" s="53"/>
      <c r="K6" s="53"/>
      <c r="L6" s="54"/>
      <c r="M6" s="9"/>
    </row>
    <row r="7" spans="1:13" ht="15.75" thickBot="1" x14ac:dyDescent="0.3">
      <c r="A7" s="9"/>
      <c r="B7" s="12" t="s">
        <v>2</v>
      </c>
      <c r="C7" s="43">
        <v>0</v>
      </c>
      <c r="D7" s="45"/>
      <c r="E7" s="62" t="s">
        <v>81</v>
      </c>
      <c r="F7" s="63"/>
      <c r="G7" s="63"/>
      <c r="H7" s="63"/>
      <c r="I7" s="63"/>
      <c r="J7" s="63"/>
      <c r="K7" s="63"/>
      <c r="L7" s="64"/>
      <c r="M7" s="9"/>
    </row>
    <row r="8" spans="1:13" x14ac:dyDescent="0.25">
      <c r="C8" s="25"/>
      <c r="D8" s="25"/>
    </row>
    <row r="9" spans="1:13" ht="15.75" thickBot="1" x14ac:dyDescent="0.3">
      <c r="B9" s="3" t="s">
        <v>3</v>
      </c>
      <c r="C9" s="25"/>
      <c r="D9" s="25"/>
      <c r="E9" s="34" t="s">
        <v>91</v>
      </c>
      <c r="F9" s="35"/>
      <c r="G9" s="35"/>
      <c r="H9" s="35"/>
      <c r="I9" s="35"/>
      <c r="J9" s="35"/>
      <c r="K9" s="35"/>
      <c r="L9" s="36"/>
    </row>
    <row r="10" spans="1:13" ht="15.75" thickBot="1" x14ac:dyDescent="0.3">
      <c r="B10" s="3" t="s">
        <v>4</v>
      </c>
      <c r="C10" s="44">
        <v>46023</v>
      </c>
      <c r="D10" s="46"/>
      <c r="E10" s="37" t="s">
        <v>87</v>
      </c>
      <c r="F10" s="38"/>
      <c r="G10" s="38"/>
      <c r="H10" s="38"/>
      <c r="I10" s="38"/>
      <c r="J10" s="38"/>
      <c r="K10" s="38"/>
      <c r="L10" s="39"/>
    </row>
    <row r="11" spans="1:13" x14ac:dyDescent="0.25">
      <c r="C11" s="25"/>
      <c r="D11" s="25"/>
    </row>
    <row r="12" spans="1:13" ht="15.75" thickBot="1" x14ac:dyDescent="0.3">
      <c r="B12" s="1" t="s">
        <v>5</v>
      </c>
      <c r="C12" s="25"/>
      <c r="D12" s="25"/>
    </row>
    <row r="13" spans="1:13" ht="15.75" thickBot="1" x14ac:dyDescent="0.3">
      <c r="B13" s="3" t="s">
        <v>6</v>
      </c>
      <c r="C13" s="44">
        <v>46387</v>
      </c>
      <c r="D13" s="46"/>
      <c r="E13" s="34" t="s">
        <v>88</v>
      </c>
      <c r="F13" s="35"/>
      <c r="G13" s="35"/>
      <c r="H13" s="35"/>
      <c r="I13" s="35"/>
      <c r="J13" s="35"/>
      <c r="K13" s="35"/>
      <c r="L13" s="36"/>
    </row>
    <row r="14" spans="1:13" x14ac:dyDescent="0.25">
      <c r="C14" s="25"/>
      <c r="D14" s="25"/>
      <c r="E14" s="37" t="s">
        <v>89</v>
      </c>
      <c r="F14" s="38"/>
      <c r="G14" s="38"/>
      <c r="H14" s="38"/>
      <c r="I14" s="38"/>
      <c r="J14" s="38"/>
      <c r="K14" s="38"/>
      <c r="L14" s="39"/>
    </row>
    <row r="15" spans="1:13" ht="15.75" thickBot="1" x14ac:dyDescent="0.3">
      <c r="B15" s="1" t="s">
        <v>7</v>
      </c>
      <c r="C15" s="25"/>
      <c r="D15" s="25"/>
    </row>
    <row r="16" spans="1:13" ht="15.75" thickBot="1" x14ac:dyDescent="0.3">
      <c r="B16" s="3" t="s">
        <v>8</v>
      </c>
      <c r="C16" s="26">
        <v>0</v>
      </c>
      <c r="D16" s="25"/>
    </row>
    <row r="17" spans="2:12" ht="15.75" thickBot="1" x14ac:dyDescent="0.3"/>
    <row r="18" spans="2:12" x14ac:dyDescent="0.25">
      <c r="B18" s="65" t="s">
        <v>83</v>
      </c>
      <c r="C18" s="66"/>
      <c r="D18" s="66"/>
      <c r="E18" s="66"/>
      <c r="F18" s="66"/>
      <c r="G18" s="66"/>
      <c r="H18" s="66"/>
      <c r="I18" s="66"/>
      <c r="J18" s="66"/>
      <c r="K18" s="66"/>
      <c r="L18" s="67"/>
    </row>
    <row r="19" spans="2:12" ht="15.75" thickBot="1" x14ac:dyDescent="0.3">
      <c r="B19" s="68" t="s">
        <v>84</v>
      </c>
      <c r="C19" s="69"/>
      <c r="D19" s="69"/>
      <c r="E19" s="69"/>
      <c r="F19" s="69"/>
      <c r="G19" s="69"/>
      <c r="H19" s="69"/>
      <c r="I19" s="69"/>
      <c r="J19" s="69"/>
      <c r="K19" s="69"/>
      <c r="L19" s="70"/>
    </row>
    <row r="20" spans="2:12" x14ac:dyDescent="0.25">
      <c r="B20" s="6"/>
    </row>
    <row r="21" spans="2:12" ht="45" x14ac:dyDescent="0.25">
      <c r="C21" s="101" t="s">
        <v>95</v>
      </c>
    </row>
  </sheetData>
  <sheetProtection algorithmName="SHA-512" hashValue="9q/hJPjbgRvOptKvnqDCPqUnCJnPhZfxkc4ylThda2z1rTi5Zm7mQvSCUaRKIV/aNNbWE3A+ztEGpShEVm6GYQ==" saltValue="hlsKKj2oQYMirPCQJtKGJg==" spinCount="100000" sheet="1" objects="1" scenarios="1" selectLockedCells="1"/>
  <protectedRanges>
    <protectedRange algorithmName="SHA-512" hashValue="wzauyd8Z33nyhzl6fIieI2zOm89tLUpstoUqO0Uut49yPbUVHNFUya6Dv7UwU/C3xN1mDN6XQzmM8QU0uuVv3g==" saltValue="XICV4xcrtzWsHKITKhtDDA==" spinCount="100000" sqref="C4:D4" name="Range1"/>
    <protectedRange algorithmName="SHA-512" hashValue="rSYVz3Lp7h2y/mSFIvBy4PDV3SVHi3i4MVApfx5dhY+nweHuNYjIyk93k3Hi+wHLMoNz6z1dAj30He3fjBg+AQ==" saltValue="SkbdB2Et0oNnc3P4B2pD6Q==" spinCount="100000" sqref="E9:E10 C8:D9 A8:B10 G8:M10 E8:F8" name="Cam21"/>
    <protectedRange algorithmName="SHA-512" hashValue="Mzb4CinVfzvMIkTbdp4MTvMHZX/wkwnFnYZRt45Y+xUOCAq39hoMQwthJHLUdKKnMJLQcheLD1fdueixYPrzDw==" saltValue="UXu/1BTNyTmQJddgx6ZfjA==" spinCount="100000" sqref="A11:B13 E13:E14 C11:D12 G13:L14 M11:M13 G11:L11 E11" name="Cam31"/>
    <protectedRange algorithmName="SHA-512" hashValue="X1cQEnNZLcZuVs9iwSQvQTPFMybwfii96DSWc/E7UWFFmvR9x0cYbgMBs/durP0PNJPpg8ePUFmpBsjw77a4/A==" saltValue="Z2GHkFMX+LEbpBVZVE5qyw==" spinCount="100000" sqref="A14:B16 C14:D15 M14:M16 E15:L16" name="Cam41"/>
    <protectedRange algorithmName="SHA-512" hashValue="5rtnmvroBCcF0g1ept/4y1f+6oXhhTo1IXDCQIwBD/vWbN6HP0oEf13vcrRkPcbb+QEE6Te5QrKglP6VNHKL3g==" saltValue="K4qdJZNKz0AZckuuB5i4rw==" spinCount="100000" sqref="A17:M20" name="Cam51"/>
  </protectedRanges>
  <mergeCells count="6">
    <mergeCell ref="A1:M1"/>
    <mergeCell ref="E4:L5"/>
    <mergeCell ref="E7:L7"/>
    <mergeCell ref="B18:L18"/>
    <mergeCell ref="B19:L19"/>
    <mergeCell ref="C5:C6"/>
  </mergeCells>
  <hyperlinks>
    <hyperlink ref="C21" location="Enter_daily_hours!D4" display="Click on Enter_daily_hours Tab" xr:uid="{FE8C0466-0DF1-4CE4-B2B9-2875E1FA0D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DACE-3E6A-46E1-9E89-BA5D88BEF674}">
  <dimension ref="B1:P31"/>
  <sheetViews>
    <sheetView zoomScale="85" zoomScaleNormal="85" workbookViewId="0">
      <selection activeCell="D6" sqref="D6"/>
    </sheetView>
  </sheetViews>
  <sheetFormatPr defaultColWidth="8.85546875" defaultRowHeight="15" x14ac:dyDescent="0.25"/>
  <cols>
    <col min="1" max="1" width="1.42578125" style="2" customWidth="1"/>
    <col min="2" max="2" width="1.7109375" style="2" customWidth="1"/>
    <col min="3" max="3" width="59.42578125" style="2" customWidth="1"/>
    <col min="4" max="4" width="18.85546875" style="2" customWidth="1"/>
    <col min="5" max="5" width="27.28515625" style="2" customWidth="1"/>
    <col min="6" max="6" width="27.28515625" style="4" customWidth="1"/>
    <col min="7" max="7" width="13.140625" style="4" customWidth="1"/>
    <col min="8" max="9" width="8.85546875" style="4"/>
    <col min="10" max="16384" width="8.85546875" style="2"/>
  </cols>
  <sheetData>
    <row r="1" spans="3:15" ht="33.75" x14ac:dyDescent="0.5">
      <c r="C1" s="55" t="s">
        <v>92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4" spans="3:15" x14ac:dyDescent="0.25">
      <c r="C4" s="3" t="s">
        <v>71</v>
      </c>
    </row>
    <row r="5" spans="3:15" ht="15.75" thickBot="1" x14ac:dyDescent="0.3">
      <c r="C5" s="3" t="s">
        <v>9</v>
      </c>
      <c r="E5" s="9"/>
    </row>
    <row r="6" spans="3:15" ht="15.75" thickBot="1" x14ac:dyDescent="0.3">
      <c r="C6" s="5" t="str">
        <f>IF(F6=TRUE,(CONCATENATE(H6," ",TEXT(G6,"dd/mm/yyyy"))),"Nid yw ŵyl y Banc yn ystod  cyfnod cyflogaeth / Bank Holiday not in employment range")</f>
        <v>Dydd Iau  / Thursday 01/01/2026</v>
      </c>
      <c r="D6" s="8"/>
      <c r="E6" s="9" t="s">
        <v>86</v>
      </c>
      <c r="F6" s="4" t="b">
        <f>IF(G6&lt;=Calculations!$C$11,G6&gt;=Calculations!$C$8)</f>
        <v>1</v>
      </c>
      <c r="G6" s="7">
        <f>Calculations!G20</f>
        <v>46023</v>
      </c>
      <c r="H6" s="4" t="str">
        <f>Calculations!K20</f>
        <v>Dydd Iau  / Thursday</v>
      </c>
      <c r="J6" s="4"/>
    </row>
    <row r="7" spans="3:15" ht="15.75" thickBot="1" x14ac:dyDescent="0.3">
      <c r="C7" s="5" t="str">
        <f t="shared" ref="C7:C18" si="0">IF(F7=TRUE,(CONCATENATE(H7," ",TEXT(G7,"dd/mm/yyyy"))),"Nid yw ŵyl y Banc yn ystod  cyfnod cyflogaeth / Bank Holiday not in employment range")</f>
        <v>Dydd Gwener / Friday 03/04/2026</v>
      </c>
      <c r="D7" s="8"/>
      <c r="E7" s="9" t="s">
        <v>86</v>
      </c>
      <c r="F7" s="4" t="b">
        <f>IF(G7&lt;=Calculations!$C$11,G7&gt;=Calculations!$C$8)</f>
        <v>1</v>
      </c>
      <c r="G7" s="7">
        <f>Calculations!G21</f>
        <v>46115</v>
      </c>
      <c r="H7" s="4" t="str">
        <f>Calculations!K21</f>
        <v>Dydd Gwener / Friday</v>
      </c>
      <c r="J7" s="4"/>
    </row>
    <row r="8" spans="3:15" ht="15.75" thickBot="1" x14ac:dyDescent="0.3">
      <c r="C8" s="5" t="str">
        <f t="shared" si="0"/>
        <v>Dydd Llun / Monday 06/04/2026</v>
      </c>
      <c r="D8" s="8"/>
      <c r="E8" s="9" t="s">
        <v>86</v>
      </c>
      <c r="F8" s="4" t="b">
        <f>IF(G8&lt;=Calculations!$C$11,G8&gt;=Calculations!$C$8)</f>
        <v>1</v>
      </c>
      <c r="G8" s="7">
        <f>Calculations!G22</f>
        <v>46118</v>
      </c>
      <c r="H8" s="4" t="str">
        <f>Calculations!K22</f>
        <v>Dydd Llun / Monday</v>
      </c>
      <c r="J8" s="4"/>
    </row>
    <row r="9" spans="3:15" ht="15.75" thickBot="1" x14ac:dyDescent="0.3">
      <c r="C9" s="5" t="str">
        <f t="shared" si="0"/>
        <v>Dydd Mawrth / Tuesday 07/04/2026</v>
      </c>
      <c r="D9" s="8"/>
      <c r="E9" s="9" t="s">
        <v>86</v>
      </c>
      <c r="F9" s="4" t="b">
        <f>IF(G9&lt;=Calculations!$C$11,G9&gt;=Calculations!$C$8)</f>
        <v>1</v>
      </c>
      <c r="G9" s="7">
        <f>Calculations!G23</f>
        <v>46119</v>
      </c>
      <c r="H9" s="4" t="str">
        <f>Calculations!K23</f>
        <v>Dydd Mawrth / Tuesday</v>
      </c>
      <c r="J9" s="4"/>
    </row>
    <row r="10" spans="3:15" ht="15.75" thickBot="1" x14ac:dyDescent="0.3">
      <c r="C10" s="5" t="str">
        <f t="shared" si="0"/>
        <v>Dydd Llun / Monday 04/05/2026</v>
      </c>
      <c r="D10" s="8"/>
      <c r="E10" s="9" t="s">
        <v>86</v>
      </c>
      <c r="F10" s="4" t="b">
        <f>IF(G10&lt;=Calculations!$C$11,G10&gt;=Calculations!$C$8)</f>
        <v>1</v>
      </c>
      <c r="G10" s="7">
        <f>Calculations!G24</f>
        <v>46146</v>
      </c>
      <c r="H10" s="4" t="str">
        <f>Calculations!K24</f>
        <v>Dydd Llun / Monday</v>
      </c>
      <c r="J10" s="4"/>
    </row>
    <row r="11" spans="3:15" ht="15.75" thickBot="1" x14ac:dyDescent="0.3">
      <c r="C11" s="5" t="str">
        <f t="shared" si="0"/>
        <v>Dydd Llun / Monday 25/05/2026</v>
      </c>
      <c r="D11" s="8"/>
      <c r="E11" s="9" t="s">
        <v>86</v>
      </c>
      <c r="F11" s="4" t="b">
        <f>IF(G11&lt;=Calculations!$C$11,G11&gt;=Calculations!$C$8)</f>
        <v>1</v>
      </c>
      <c r="G11" s="7">
        <f>Calculations!G25</f>
        <v>46167</v>
      </c>
      <c r="H11" s="4" t="str">
        <f>Calculations!K25</f>
        <v>Dydd Llun / Monday</v>
      </c>
      <c r="J11" s="4"/>
    </row>
    <row r="12" spans="3:15" ht="15.75" thickBot="1" x14ac:dyDescent="0.3">
      <c r="C12" s="5" t="str">
        <f t="shared" si="0"/>
        <v>Dydd Llun / Monday 31/08/2026</v>
      </c>
      <c r="D12" s="8"/>
      <c r="E12" s="9" t="s">
        <v>86</v>
      </c>
      <c r="F12" s="4" t="b">
        <f>IF(G12&lt;=Calculations!$C$11,G12&gt;=Calculations!$C$8)</f>
        <v>1</v>
      </c>
      <c r="G12" s="7">
        <f>Calculations!G26</f>
        <v>46265</v>
      </c>
      <c r="H12" s="4" t="str">
        <f>Calculations!K26</f>
        <v>Dydd Llun / Monday</v>
      </c>
      <c r="J12" s="4"/>
    </row>
    <row r="13" spans="3:15" ht="15.75" thickBot="1" x14ac:dyDescent="0.3">
      <c r="C13" s="5" t="str">
        <f t="shared" si="0"/>
        <v>Dydd Iau  / Thursday 24/12/2026</v>
      </c>
      <c r="D13" s="8"/>
      <c r="E13" s="9" t="s">
        <v>86</v>
      </c>
      <c r="F13" s="4" t="b">
        <f>IF(G13&lt;=Calculations!$C$11,G13&gt;=Calculations!$C$8)</f>
        <v>1</v>
      </c>
      <c r="G13" s="7">
        <f>Calculations!G27</f>
        <v>46380</v>
      </c>
      <c r="H13" s="4" t="str">
        <f>Calculations!K27</f>
        <v>Dydd Iau  / Thursday</v>
      </c>
      <c r="J13" s="4"/>
    </row>
    <row r="14" spans="3:15" ht="15.75" thickBot="1" x14ac:dyDescent="0.3">
      <c r="C14" s="5" t="str">
        <f t="shared" si="0"/>
        <v>Dydd Gwener / Friday 25/12/2026</v>
      </c>
      <c r="D14" s="8"/>
      <c r="E14" s="9" t="s">
        <v>86</v>
      </c>
      <c r="F14" s="4" t="b">
        <f>IF(G14&lt;=Calculations!$C$11,G14&gt;=Calculations!$C$8)</f>
        <v>1</v>
      </c>
      <c r="G14" s="7">
        <f>Calculations!G28</f>
        <v>46381</v>
      </c>
      <c r="H14" s="4" t="str">
        <f>Calculations!K28</f>
        <v>Dydd Gwener / Friday</v>
      </c>
      <c r="J14" s="4"/>
    </row>
    <row r="15" spans="3:15" ht="15.75" thickBot="1" x14ac:dyDescent="0.3">
      <c r="C15" s="5" t="str">
        <f t="shared" si="0"/>
        <v>Dydd Llun / Monday 28/12/2026</v>
      </c>
      <c r="D15" s="8"/>
      <c r="E15" s="9" t="s">
        <v>86</v>
      </c>
      <c r="F15" s="4" t="b">
        <f>IF(G15&lt;=Calculations!$C$11,G15&gt;=Calculations!$C$8)</f>
        <v>1</v>
      </c>
      <c r="G15" s="7">
        <f>Calculations!G29</f>
        <v>46384</v>
      </c>
      <c r="H15" s="4" t="str">
        <f>Calculations!K29</f>
        <v>Dydd Llun / Monday</v>
      </c>
      <c r="J15" s="4"/>
    </row>
    <row r="16" spans="3:15" ht="15.75" thickBot="1" x14ac:dyDescent="0.3">
      <c r="C16" s="5" t="str">
        <f t="shared" si="0"/>
        <v>Dydd Mawrth / Tuesday 29/12/2026</v>
      </c>
      <c r="D16" s="8"/>
      <c r="E16" s="9" t="s">
        <v>86</v>
      </c>
      <c r="F16" s="4" t="b">
        <f>IF(G16&lt;=Calculations!$C$11,G16&gt;=Calculations!$C$8)</f>
        <v>1</v>
      </c>
      <c r="G16" s="7">
        <f>Calculations!G30</f>
        <v>46385</v>
      </c>
      <c r="H16" s="4" t="str">
        <f>Calculations!K30</f>
        <v>Dydd Mawrth / Tuesday</v>
      </c>
      <c r="J16" s="4"/>
    </row>
    <row r="17" spans="2:16" ht="15.75" thickBot="1" x14ac:dyDescent="0.3">
      <c r="C17" s="5" t="str">
        <f t="shared" si="0"/>
        <v>Dydd Mercher / Wednesday 30/12/2026</v>
      </c>
      <c r="D17" s="8"/>
      <c r="E17" s="9" t="s">
        <v>86</v>
      </c>
      <c r="F17" s="4" t="b">
        <f>IF(G17&lt;=Calculations!$C$11,G17&gt;=Calculations!$C$8)</f>
        <v>1</v>
      </c>
      <c r="G17" s="7">
        <f>Calculations!G31</f>
        <v>46386</v>
      </c>
      <c r="H17" s="4" t="str">
        <f>Calculations!K31</f>
        <v>Dydd Mercher / Wednesday</v>
      </c>
      <c r="J17" s="4"/>
    </row>
    <row r="18" spans="2:16" ht="15.75" thickBot="1" x14ac:dyDescent="0.3">
      <c r="C18" s="5" t="str">
        <f t="shared" si="0"/>
        <v>Dydd Iau  / Thursday 31/12/2026</v>
      </c>
      <c r="D18" s="8"/>
      <c r="E18" s="9" t="s">
        <v>86</v>
      </c>
      <c r="F18" s="4" t="b">
        <f>IF(G18&lt;=Calculations!$C$11,G18&gt;=Calculations!$C$8)</f>
        <v>1</v>
      </c>
      <c r="G18" s="7">
        <f>Calculations!G32</f>
        <v>46387</v>
      </c>
      <c r="H18" s="4" t="str">
        <f>Calculations!K32</f>
        <v>Dydd Iau  / Thursday</v>
      </c>
      <c r="J18" s="4"/>
    </row>
    <row r="19" spans="2:16" x14ac:dyDescent="0.25">
      <c r="C19" s="23"/>
      <c r="E19" s="9"/>
      <c r="J19" s="4"/>
    </row>
    <row r="20" spans="2:16" ht="30" x14ac:dyDescent="0.25">
      <c r="B20" s="9"/>
      <c r="D20" s="100" t="s">
        <v>94</v>
      </c>
      <c r="E20" s="9"/>
      <c r="J20" s="9"/>
      <c r="K20" s="9"/>
      <c r="L20" s="9"/>
      <c r="M20" s="9"/>
    </row>
    <row r="21" spans="2:16" x14ac:dyDescent="0.25">
      <c r="E21" s="4"/>
      <c r="J21" s="4"/>
      <c r="K21" s="4"/>
      <c r="L21" s="4"/>
      <c r="M21" s="4"/>
      <c r="N21" s="4"/>
      <c r="O21" s="4"/>
      <c r="P21" s="4"/>
    </row>
    <row r="22" spans="2:16" x14ac:dyDescent="0.25">
      <c r="E22" s="4"/>
      <c r="J22" s="4"/>
      <c r="K22" s="4"/>
      <c r="L22" s="4"/>
      <c r="M22" s="4"/>
      <c r="N22" s="4"/>
      <c r="O22" s="4"/>
      <c r="P22" s="4"/>
    </row>
    <row r="23" spans="2:16" x14ac:dyDescent="0.25">
      <c r="E23" s="4"/>
      <c r="F23" s="73"/>
      <c r="G23" s="74"/>
      <c r="H23" s="74"/>
      <c r="I23" s="74"/>
      <c r="J23" s="74"/>
      <c r="K23" s="4"/>
      <c r="L23" s="4"/>
      <c r="M23" s="4"/>
      <c r="N23" s="4"/>
      <c r="O23" s="4"/>
      <c r="P23" s="4"/>
    </row>
    <row r="24" spans="2:16" x14ac:dyDescent="0.25">
      <c r="E24" s="4"/>
      <c r="F24" s="74"/>
      <c r="G24" s="74"/>
      <c r="H24" s="74"/>
      <c r="I24" s="74"/>
      <c r="J24" s="74"/>
      <c r="K24" s="4"/>
      <c r="L24" s="4"/>
      <c r="M24" s="4"/>
      <c r="N24" s="4"/>
      <c r="O24" s="4"/>
      <c r="P24" s="4"/>
    </row>
    <row r="25" spans="2:16" x14ac:dyDescent="0.25">
      <c r="E25" s="4"/>
      <c r="F25" s="74"/>
      <c r="G25" s="74"/>
      <c r="H25" s="74"/>
      <c r="I25" s="74"/>
      <c r="J25" s="74"/>
      <c r="K25" s="4"/>
      <c r="L25" s="4"/>
      <c r="M25" s="4"/>
      <c r="N25" s="4"/>
      <c r="O25" s="4"/>
      <c r="P25" s="4"/>
    </row>
    <row r="26" spans="2:16" x14ac:dyDescent="0.25">
      <c r="E26" s="4"/>
      <c r="F26" s="74"/>
      <c r="G26" s="74"/>
      <c r="H26" s="74"/>
      <c r="I26" s="74"/>
      <c r="J26" s="74"/>
      <c r="K26" s="4"/>
      <c r="L26" s="4"/>
      <c r="M26" s="4"/>
      <c r="N26" s="4"/>
      <c r="O26" s="4"/>
      <c r="P26" s="4"/>
    </row>
    <row r="27" spans="2:16" x14ac:dyDescent="0.25">
      <c r="E27" s="4"/>
      <c r="F27" s="74"/>
      <c r="G27" s="74"/>
      <c r="H27" s="74"/>
      <c r="I27" s="74"/>
      <c r="J27" s="74"/>
      <c r="K27" s="4"/>
      <c r="L27" s="4"/>
      <c r="M27" s="4"/>
      <c r="N27" s="4"/>
      <c r="O27" s="4"/>
      <c r="P27" s="4"/>
    </row>
    <row r="28" spans="2:16" x14ac:dyDescent="0.25">
      <c r="E28" s="4"/>
      <c r="F28" s="74"/>
      <c r="G28" s="74"/>
      <c r="H28" s="74"/>
      <c r="I28" s="74"/>
      <c r="J28" s="74"/>
      <c r="K28" s="4"/>
      <c r="L28" s="4"/>
      <c r="M28" s="4"/>
      <c r="N28" s="4"/>
      <c r="O28" s="4"/>
      <c r="P28" s="4"/>
    </row>
    <row r="29" spans="2:16" x14ac:dyDescent="0.25">
      <c r="E29" s="4"/>
      <c r="J29" s="4"/>
      <c r="K29" s="4"/>
      <c r="L29" s="4"/>
      <c r="M29" s="4"/>
      <c r="N29" s="4"/>
      <c r="O29" s="4"/>
      <c r="P29" s="4"/>
    </row>
    <row r="30" spans="2:16" x14ac:dyDescent="0.25">
      <c r="E30" s="4"/>
      <c r="J30" s="4"/>
      <c r="K30" s="4"/>
      <c r="L30" s="4"/>
      <c r="M30" s="4"/>
      <c r="N30" s="4"/>
      <c r="O30" s="4"/>
      <c r="P30" s="4"/>
    </row>
    <row r="31" spans="2:16" x14ac:dyDescent="0.25">
      <c r="E31" s="4"/>
      <c r="J31" s="4"/>
      <c r="K31" s="4"/>
      <c r="L31" s="4"/>
      <c r="M31" s="4"/>
      <c r="N31" s="4"/>
      <c r="O31" s="4"/>
      <c r="P31" s="4"/>
    </row>
  </sheetData>
  <sheetProtection algorithmName="SHA-512" hashValue="k/Y2+VG3dwbJEi3CrwbJRxOqpxXjmIFtmq3zeudoJ+ZGiP1DWTW1Xpw17RWKXX9WXH4g2mqsTvTkE3eqlPzz/g==" saltValue="2j6GOOa0AGC6EJU3Rc5fBw==" spinCount="100000" sheet="1" objects="1" scenarios="1" selectLockedCells="1"/>
  <protectedRanges>
    <protectedRange algorithmName="SHA-512" hashValue="5rtnmvroBCcF0g1ept/4y1f+6oXhhTo1IXDCQIwBD/vWbN6HP0oEf13vcrRkPcbb+QEE6Te5QrKglP6VNHKL3g==" saltValue="K4qdJZNKz0AZckuuB5i4rw==" spinCount="100000" sqref="B4:M5 B6:C19 E6:M19" name="Cam51"/>
  </protectedRanges>
  <mergeCells count="2">
    <mergeCell ref="F23:J28"/>
    <mergeCell ref="C1:O1"/>
  </mergeCells>
  <hyperlinks>
    <hyperlink ref="D20" location="'Gwerth - Final'!C19" display="Click on Gwerth - Final" xr:uid="{2A2A53CF-F9E0-4B47-8DAA-DB20D0E58B85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zoomScale="85" zoomScaleNormal="85" workbookViewId="0">
      <selection activeCell="I7" sqref="I7:S8"/>
    </sheetView>
  </sheetViews>
  <sheetFormatPr defaultColWidth="9.140625" defaultRowHeight="15" x14ac:dyDescent="0.25"/>
  <cols>
    <col min="1" max="1" width="1.5703125" style="2" customWidth="1"/>
    <col min="2" max="2" width="42.42578125" style="51" bestFit="1" customWidth="1"/>
    <col min="3" max="3" width="27.5703125" style="2" customWidth="1"/>
    <col min="4" max="4" width="2.85546875" style="2" customWidth="1"/>
    <col min="5" max="5" width="9" style="2" customWidth="1"/>
    <col min="6" max="6" width="2.42578125" style="2" customWidth="1"/>
    <col min="7" max="7" width="28.5703125" style="2" customWidth="1"/>
    <col min="8" max="8" width="5.28515625" style="2" customWidth="1"/>
    <col min="9" max="9" width="11.85546875" style="2" customWidth="1"/>
    <col min="10" max="18" width="8" style="2" customWidth="1"/>
    <col min="19" max="19" width="24.85546875" style="2" customWidth="1"/>
    <col min="20" max="16384" width="9.140625" style="2"/>
  </cols>
  <sheetData>
    <row r="1" spans="1:19" ht="33.75" x14ac:dyDescent="0.5">
      <c r="A1" s="55" t="s">
        <v>90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s="31" customFormat="1" ht="54" customHeight="1" x14ac:dyDescent="0.5">
      <c r="B2" s="50"/>
      <c r="C2" s="48" t="s">
        <v>74</v>
      </c>
      <c r="F2" s="2"/>
      <c r="G2" s="49" t="s">
        <v>75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5" customHeight="1" x14ac:dyDescent="0.25"/>
    <row r="4" spans="1:19" ht="19.899999999999999" customHeight="1" x14ac:dyDescent="0.25">
      <c r="B4" s="51" t="s">
        <v>10</v>
      </c>
      <c r="C4" s="81">
        <f>Calculations!C41</f>
        <v>0</v>
      </c>
      <c r="G4" s="81">
        <f>Calculations!F41</f>
        <v>0</v>
      </c>
      <c r="I4" s="75" t="s">
        <v>76</v>
      </c>
      <c r="J4" s="76"/>
      <c r="K4" s="76"/>
      <c r="L4" s="76"/>
      <c r="M4" s="76"/>
      <c r="N4" s="76"/>
      <c r="O4" s="76"/>
      <c r="P4" s="76"/>
      <c r="Q4" s="76"/>
      <c r="R4" s="76"/>
      <c r="S4" s="77"/>
    </row>
    <row r="5" spans="1:19" ht="19.899999999999999" customHeight="1" x14ac:dyDescent="0.25">
      <c r="B5" s="51" t="s">
        <v>11</v>
      </c>
      <c r="C5" s="82"/>
      <c r="G5" s="82"/>
      <c r="I5" s="78"/>
      <c r="J5" s="79"/>
      <c r="K5" s="79"/>
      <c r="L5" s="79"/>
      <c r="M5" s="79"/>
      <c r="N5" s="79"/>
      <c r="O5" s="79"/>
      <c r="P5" s="79"/>
      <c r="Q5" s="79"/>
      <c r="R5" s="79"/>
      <c r="S5" s="80"/>
    </row>
    <row r="6" spans="1:19" x14ac:dyDescent="0.25">
      <c r="C6" s="10"/>
    </row>
    <row r="7" spans="1:19" ht="19.899999999999999" customHeight="1" x14ac:dyDescent="0.25">
      <c r="B7" s="51" t="s">
        <v>12</v>
      </c>
      <c r="C7" s="81">
        <f ca="1">Calculations!C36</f>
        <v>0</v>
      </c>
      <c r="D7" s="96" t="s">
        <v>72</v>
      </c>
      <c r="E7" s="97"/>
      <c r="F7" s="98"/>
      <c r="G7" s="81">
        <f ca="1">Calculations!F36</f>
        <v>0</v>
      </c>
      <c r="I7" s="75" t="s">
        <v>77</v>
      </c>
      <c r="J7" s="85"/>
      <c r="K7" s="85"/>
      <c r="L7" s="85"/>
      <c r="M7" s="85"/>
      <c r="N7" s="85"/>
      <c r="O7" s="85"/>
      <c r="P7" s="85"/>
      <c r="Q7" s="85"/>
      <c r="R7" s="85"/>
      <c r="S7" s="86"/>
    </row>
    <row r="8" spans="1:19" ht="19.899999999999999" customHeight="1" x14ac:dyDescent="0.25">
      <c r="B8" s="51" t="s">
        <v>13</v>
      </c>
      <c r="C8" s="82"/>
      <c r="D8" s="96"/>
      <c r="E8" s="97"/>
      <c r="F8" s="98"/>
      <c r="G8" s="82"/>
      <c r="I8" s="87"/>
      <c r="J8" s="88"/>
      <c r="K8" s="88"/>
      <c r="L8" s="88"/>
      <c r="M8" s="88"/>
      <c r="N8" s="88"/>
      <c r="O8" s="88"/>
      <c r="P8" s="88"/>
      <c r="Q8" s="88"/>
      <c r="R8" s="88"/>
      <c r="S8" s="89"/>
    </row>
    <row r="9" spans="1:19" x14ac:dyDescent="0.25">
      <c r="C9" s="10"/>
    </row>
    <row r="10" spans="1:19" ht="33" customHeight="1" x14ac:dyDescent="0.25">
      <c r="B10" s="51" t="s">
        <v>14</v>
      </c>
      <c r="C10" s="81">
        <f>Calculations!C37</f>
        <v>0</v>
      </c>
      <c r="D10" s="96" t="s">
        <v>73</v>
      </c>
      <c r="E10" s="97"/>
      <c r="F10" s="98"/>
      <c r="G10" s="81">
        <f>Calculations!F37</f>
        <v>0</v>
      </c>
      <c r="I10" s="90" t="s">
        <v>79</v>
      </c>
      <c r="J10" s="91"/>
      <c r="K10" s="91"/>
      <c r="L10" s="91"/>
      <c r="M10" s="91"/>
      <c r="N10" s="91"/>
      <c r="O10" s="91"/>
      <c r="P10" s="91"/>
      <c r="Q10" s="91"/>
      <c r="R10" s="91"/>
      <c r="S10" s="92"/>
    </row>
    <row r="11" spans="1:19" ht="29.45" customHeight="1" x14ac:dyDescent="0.25">
      <c r="B11" s="51" t="s">
        <v>15</v>
      </c>
      <c r="C11" s="82"/>
      <c r="D11" s="96"/>
      <c r="E11" s="97"/>
      <c r="F11" s="98"/>
      <c r="G11" s="82"/>
      <c r="I11" s="93" t="s">
        <v>78</v>
      </c>
      <c r="J11" s="94"/>
      <c r="K11" s="94"/>
      <c r="L11" s="94"/>
      <c r="M11" s="94"/>
      <c r="N11" s="94"/>
      <c r="O11" s="94"/>
      <c r="P11" s="94"/>
      <c r="Q11" s="94"/>
      <c r="R11" s="94"/>
      <c r="S11" s="95"/>
    </row>
    <row r="12" spans="1:19" ht="39.6" customHeight="1" x14ac:dyDescent="0.25">
      <c r="C12" s="11"/>
    </row>
    <row r="13" spans="1:19" ht="19.899999999999999" customHeight="1" x14ac:dyDescent="0.25">
      <c r="B13" s="51" t="s">
        <v>16</v>
      </c>
      <c r="C13" s="81">
        <f ca="1">Calculations!C39</f>
        <v>0</v>
      </c>
      <c r="G13" s="81">
        <f ca="1">Calculations!F39</f>
        <v>0</v>
      </c>
      <c r="I13" s="75" t="s">
        <v>80</v>
      </c>
      <c r="J13" s="76"/>
      <c r="K13" s="76"/>
      <c r="L13" s="76"/>
      <c r="M13" s="76"/>
      <c r="N13" s="76"/>
      <c r="O13" s="76"/>
      <c r="P13" s="76"/>
      <c r="Q13" s="76"/>
      <c r="R13" s="76"/>
      <c r="S13" s="77"/>
    </row>
    <row r="14" spans="1:19" ht="19.899999999999999" customHeight="1" x14ac:dyDescent="0.25">
      <c r="B14" s="51" t="s">
        <v>17</v>
      </c>
      <c r="C14" s="82"/>
      <c r="G14" s="82"/>
      <c r="I14" s="78"/>
      <c r="J14" s="79"/>
      <c r="K14" s="79"/>
      <c r="L14" s="79"/>
      <c r="M14" s="79"/>
      <c r="N14" s="79"/>
      <c r="O14" s="79"/>
      <c r="P14" s="79"/>
      <c r="Q14" s="79"/>
      <c r="R14" s="79"/>
      <c r="S14" s="80"/>
    </row>
    <row r="15" spans="1:19" x14ac:dyDescent="0.25">
      <c r="C15" s="10"/>
    </row>
    <row r="16" spans="1:19" x14ac:dyDescent="0.25">
      <c r="B16" s="51" t="s">
        <v>18</v>
      </c>
      <c r="C16" s="81">
        <f>Calculations!C17</f>
        <v>0</v>
      </c>
      <c r="G16" s="81">
        <f>Calculations!C17</f>
        <v>0</v>
      </c>
    </row>
    <row r="17" spans="2:7" x14ac:dyDescent="0.25">
      <c r="B17" s="51" t="s">
        <v>19</v>
      </c>
      <c r="C17" s="82"/>
      <c r="G17" s="82"/>
    </row>
    <row r="18" spans="2:7" ht="15.75" thickBot="1" x14ac:dyDescent="0.3">
      <c r="C18" s="10"/>
    </row>
    <row r="19" spans="2:7" x14ac:dyDescent="0.25">
      <c r="B19" s="51" t="s">
        <v>20</v>
      </c>
      <c r="C19" s="83">
        <f ca="1">Calculations!C45</f>
        <v>0</v>
      </c>
      <c r="G19" s="83">
        <f ca="1">Calculations!F45</f>
        <v>0</v>
      </c>
    </row>
    <row r="20" spans="2:7" ht="15.75" thickBot="1" x14ac:dyDescent="0.3">
      <c r="B20" s="51" t="s">
        <v>21</v>
      </c>
      <c r="C20" s="84"/>
      <c r="G20" s="84"/>
    </row>
  </sheetData>
  <sheetProtection algorithmName="SHA-512" hashValue="CcGg7dmlvC7YqmNUyDJoyGAy/SFAQ7nBvQ0YcqwqzPMXAKrAsxtubKPaMNg2x9PWEkclZfkWgnGSBV77QvCruA==" saltValue="wqdL2KSOFdd/7ZzQTkMwGA==" spinCount="100000" sheet="1" objects="1" scenarios="1" selectLockedCells="1"/>
  <mergeCells count="20">
    <mergeCell ref="I4:S5"/>
    <mergeCell ref="I7:S8"/>
    <mergeCell ref="I10:S10"/>
    <mergeCell ref="I11:S11"/>
    <mergeCell ref="A1:S1"/>
    <mergeCell ref="G4:G5"/>
    <mergeCell ref="G7:G8"/>
    <mergeCell ref="G10:G11"/>
    <mergeCell ref="C4:C5"/>
    <mergeCell ref="C7:C8"/>
    <mergeCell ref="C10:C11"/>
    <mergeCell ref="D10:F11"/>
    <mergeCell ref="D7:F8"/>
    <mergeCell ref="I13:S14"/>
    <mergeCell ref="C16:C17"/>
    <mergeCell ref="C19:C20"/>
    <mergeCell ref="G16:G17"/>
    <mergeCell ref="G19:G20"/>
    <mergeCell ref="C13:C14"/>
    <mergeCell ref="G13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topLeftCell="A2" zoomScaleNormal="100" workbookViewId="0">
      <selection activeCell="G13" sqref="G13"/>
    </sheetView>
  </sheetViews>
  <sheetFormatPr defaultColWidth="9.140625" defaultRowHeight="15" x14ac:dyDescent="0.25"/>
  <cols>
    <col min="1" max="1" width="9.140625" style="9"/>
    <col min="2" max="2" width="89.7109375" style="9" customWidth="1"/>
    <col min="3" max="3" width="27.85546875" style="9" bestFit="1" customWidth="1"/>
    <col min="4" max="4" width="9.140625" style="9"/>
    <col min="5" max="5" width="13.7109375" style="9" customWidth="1"/>
    <col min="6" max="6" width="15.140625" style="9" bestFit="1" customWidth="1"/>
    <col min="7" max="7" width="11.5703125" style="9" bestFit="1" customWidth="1"/>
    <col min="8" max="8" width="10.5703125" style="9" bestFit="1" customWidth="1"/>
    <col min="9" max="9" width="37" style="9" bestFit="1" customWidth="1"/>
    <col min="10" max="16384" width="9.140625" style="9"/>
  </cols>
  <sheetData>
    <row r="1" spans="1:17" s="2" customFormat="1" ht="33.75" x14ac:dyDescent="0.5">
      <c r="A1" s="55" t="s">
        <v>93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33.75" x14ac:dyDescent="0.5">
      <c r="B2" s="99" t="s">
        <v>22</v>
      </c>
      <c r="C2" s="99"/>
      <c r="D2" s="99"/>
      <c r="E2" s="99"/>
      <c r="F2" s="99"/>
      <c r="G2" s="99"/>
      <c r="H2" s="99"/>
      <c r="I2" s="99"/>
      <c r="J2" s="99"/>
      <c r="K2" s="99"/>
    </row>
    <row r="3" spans="1:17" ht="15.75" thickBot="1" x14ac:dyDescent="0.3"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12" t="s">
        <v>23</v>
      </c>
      <c r="B4" s="9" t="s">
        <v>24</v>
      </c>
      <c r="C4" s="27">
        <f>Enter_Hours!C4</f>
        <v>0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B5" s="9" t="s">
        <v>2</v>
      </c>
      <c r="C5" s="28">
        <f>Enter_Hours!C7</f>
        <v>0</v>
      </c>
      <c r="D5" s="9" t="s">
        <v>25</v>
      </c>
      <c r="E5" s="13">
        <f>C5/36.5/52</f>
        <v>0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thickBot="1" x14ac:dyDescent="0.3">
      <c r="B6" s="9" t="s">
        <v>26</v>
      </c>
      <c r="C6" s="27">
        <f>IF(C4=0,E5,C4/36.5)</f>
        <v>0</v>
      </c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thickBot="1" x14ac:dyDescent="0.3">
      <c r="G7" s="9" t="s">
        <v>63</v>
      </c>
      <c r="H7" s="2"/>
      <c r="I7" s="2"/>
      <c r="J7" s="2"/>
      <c r="K7" s="2"/>
      <c r="L7" s="2"/>
      <c r="M7" s="2"/>
      <c r="Q7" s="2"/>
    </row>
    <row r="8" spans="1:17" ht="15.75" thickBot="1" x14ac:dyDescent="0.3">
      <c r="A8" s="12" t="s">
        <v>27</v>
      </c>
      <c r="B8" s="9" t="s">
        <v>28</v>
      </c>
      <c r="C8" s="14">
        <f>Enter_Hours!C10</f>
        <v>46023</v>
      </c>
      <c r="G8" s="9" t="s">
        <v>64</v>
      </c>
      <c r="H8" s="2"/>
      <c r="I8" s="2"/>
      <c r="J8" s="2"/>
      <c r="K8" s="2"/>
      <c r="L8" s="2"/>
      <c r="M8" s="2"/>
      <c r="Q8" s="2"/>
    </row>
    <row r="9" spans="1:17" x14ac:dyDescent="0.25">
      <c r="B9" s="9" t="s">
        <v>29</v>
      </c>
      <c r="H9" s="2"/>
      <c r="I9" s="2"/>
      <c r="J9" s="2"/>
      <c r="K9" s="2"/>
      <c r="L9" s="2"/>
      <c r="M9" s="2"/>
      <c r="Q9" s="2"/>
    </row>
    <row r="10" spans="1:17" ht="15.75" thickBot="1" x14ac:dyDescent="0.3">
      <c r="G10" s="9" t="s">
        <v>65</v>
      </c>
      <c r="H10" s="2"/>
      <c r="I10" s="2"/>
      <c r="J10" s="2"/>
      <c r="K10" s="2"/>
      <c r="L10" s="2"/>
      <c r="M10" s="2"/>
      <c r="Q10" s="2"/>
    </row>
    <row r="11" spans="1:17" ht="15.75" thickBot="1" x14ac:dyDescent="0.3">
      <c r="A11" s="12" t="s">
        <v>30</v>
      </c>
      <c r="B11" s="9" t="s">
        <v>31</v>
      </c>
      <c r="C11" s="14">
        <f>Enter_Hours!C13</f>
        <v>46387</v>
      </c>
      <c r="G11" s="9">
        <v>1898</v>
      </c>
      <c r="H11" s="2">
        <f>SUM(23*7.3)</f>
        <v>167.9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B12" s="9" t="s">
        <v>32</v>
      </c>
      <c r="G12" s="9" t="e">
        <f>SUM(C15*94.6)</f>
        <v>#DIV/0!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thickBot="1" x14ac:dyDescent="0.3"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thickBot="1" x14ac:dyDescent="0.3">
      <c r="B14" s="9" t="s">
        <v>33</v>
      </c>
      <c r="C14" s="13">
        <f>SUM(C11-C8+1)</f>
        <v>365</v>
      </c>
      <c r="F14" s="9" t="s">
        <v>66</v>
      </c>
      <c r="G14" s="9" t="s">
        <v>67</v>
      </c>
      <c r="H14" s="2" t="s">
        <v>68</v>
      </c>
      <c r="I14" s="2" t="s">
        <v>69</v>
      </c>
      <c r="J14" s="2"/>
      <c r="K14" s="2"/>
      <c r="L14" s="2"/>
      <c r="M14" s="2"/>
      <c r="N14" s="2"/>
      <c r="O14" s="2"/>
      <c r="P14" s="2"/>
      <c r="Q14" s="2"/>
    </row>
    <row r="15" spans="1:17" ht="15.75" thickBot="1" x14ac:dyDescent="0.3">
      <c r="B15" s="9" t="s">
        <v>34</v>
      </c>
      <c r="C15" s="27" t="e">
        <f>SUM($H$15/$F$15*$G$15)/G15</f>
        <v>#DIV/0!</v>
      </c>
      <c r="F15" s="9">
        <f>_xlfn.DAYS("31/12/2026","1/1/2026")+1</f>
        <v>365</v>
      </c>
      <c r="G15" s="9">
        <f>SUM(C$6*197.1)</f>
        <v>0</v>
      </c>
      <c r="H15" s="2">
        <f>_xlfn.DAYS(G$17,F$17)+1</f>
        <v>365</v>
      </c>
      <c r="I15" s="47">
        <f>$H$15/$F$15*$G$15</f>
        <v>0</v>
      </c>
      <c r="J15" s="2"/>
      <c r="K15" s="2"/>
      <c r="L15" s="2"/>
      <c r="M15" s="2"/>
      <c r="N15" s="2"/>
      <c r="O15" s="2"/>
      <c r="P15" s="2"/>
      <c r="Q15" s="2"/>
    </row>
    <row r="16" spans="1:17" ht="15.75" thickBot="1" x14ac:dyDescent="0.3">
      <c r="F16" s="9">
        <f>_xlfn.DAYS("31/12/2026","1/1/2026")</f>
        <v>364</v>
      </c>
      <c r="G16" s="9">
        <f>SUM(C$6*94.9)</f>
        <v>0</v>
      </c>
      <c r="H16" s="2">
        <f>_xlfn.DAYS(G$17,F$17)+1</f>
        <v>365</v>
      </c>
      <c r="I16" s="29">
        <f>H16/F16*G16</f>
        <v>0</v>
      </c>
      <c r="J16" s="2"/>
      <c r="K16" s="2"/>
      <c r="L16" s="2"/>
      <c r="M16" s="2"/>
      <c r="N16" s="2"/>
      <c r="O16" s="2"/>
      <c r="P16" s="2"/>
      <c r="Q16" s="2"/>
    </row>
    <row r="17" spans="1:17" ht="15.75" thickBot="1" x14ac:dyDescent="0.3">
      <c r="A17" s="12" t="s">
        <v>35</v>
      </c>
      <c r="B17" s="9" t="s">
        <v>36</v>
      </c>
      <c r="C17" s="13">
        <f>Enter_Hours!C16</f>
        <v>0</v>
      </c>
      <c r="F17" s="16">
        <f>Enter_Hours!C10</f>
        <v>46023</v>
      </c>
      <c r="G17" s="5">
        <f>Enter_Hours!C13</f>
        <v>46387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thickBot="1" x14ac:dyDescent="0.3">
      <c r="A19" s="12" t="s">
        <v>37</v>
      </c>
      <c r="B19" s="12" t="s">
        <v>38</v>
      </c>
      <c r="C19" s="12" t="s">
        <v>39</v>
      </c>
      <c r="F19" s="12" t="s">
        <v>40</v>
      </c>
      <c r="G19" s="15" t="s">
        <v>41</v>
      </c>
      <c r="H19" s="12"/>
      <c r="I19" s="12" t="s">
        <v>42</v>
      </c>
      <c r="J19" s="4"/>
    </row>
    <row r="20" spans="1:17" ht="15.75" thickBot="1" x14ac:dyDescent="0.3">
      <c r="B20" s="16" t="str">
        <f>CONCATENATE(K20," ",TEXT(G20,"DD/MM/YYYY"))</f>
        <v>Dydd Iau  / Thursday 01/01/2026</v>
      </c>
      <c r="C20" s="17">
        <f>Enter_daily_hours!D6</f>
        <v>0</v>
      </c>
      <c r="D20" s="4" t="s">
        <v>43</v>
      </c>
      <c r="E20" s="9" t="b">
        <f t="shared" ref="E20:E32" si="0">IF(G20&lt;=$C$11,G20&gt;=$C$8)</f>
        <v>1</v>
      </c>
      <c r="F20" s="17">
        <f t="shared" ref="F20:F32" si="1">IF(E20=TRUE,7.3*1,0)</f>
        <v>7.3</v>
      </c>
      <c r="G20" s="41">
        <v>46023</v>
      </c>
      <c r="H20" s="9" t="s">
        <v>44</v>
      </c>
      <c r="I20" s="9" t="s">
        <v>45</v>
      </c>
      <c r="J20" s="21">
        <f>WEEKDAY(G20,2)</f>
        <v>4</v>
      </c>
      <c r="K20" s="9" t="str">
        <f>VLOOKUP(J20,daysofweek,2,FALSE)</f>
        <v>Dydd Iau  / Thursday</v>
      </c>
      <c r="O20" s="2">
        <v>1</v>
      </c>
      <c r="P20" s="2" t="s">
        <v>46</v>
      </c>
      <c r="Q20" s="2"/>
    </row>
    <row r="21" spans="1:17" ht="15.75" thickBot="1" x14ac:dyDescent="0.3">
      <c r="B21" s="16" t="str">
        <f t="shared" ref="B21:B32" si="2">CONCATENATE(K21," ",TEXT(G21,"DD/MM/YYYY"))</f>
        <v>Dydd Gwener / Friday 03/04/2026</v>
      </c>
      <c r="C21" s="17">
        <f>Enter_daily_hours!D7</f>
        <v>0</v>
      </c>
      <c r="D21" s="4" t="s">
        <v>43</v>
      </c>
      <c r="E21" s="9" t="b">
        <f t="shared" si="0"/>
        <v>1</v>
      </c>
      <c r="F21" s="17">
        <f t="shared" si="1"/>
        <v>7.3</v>
      </c>
      <c r="G21" s="41">
        <v>46115</v>
      </c>
      <c r="H21" s="9" t="s">
        <v>44</v>
      </c>
      <c r="I21" s="9" t="s">
        <v>45</v>
      </c>
      <c r="J21" s="21">
        <f t="shared" ref="J21:J32" si="3">WEEKDAY(G21,2)</f>
        <v>5</v>
      </c>
      <c r="K21" s="9" t="str">
        <f t="shared" ref="K21:K32" si="4">VLOOKUP(J21,daysofweek,2,FALSE)</f>
        <v>Dydd Gwener / Friday</v>
      </c>
      <c r="O21" s="2">
        <v>2</v>
      </c>
      <c r="P21" s="2" t="s">
        <v>47</v>
      </c>
      <c r="Q21" s="2"/>
    </row>
    <row r="22" spans="1:17" ht="15.75" thickBot="1" x14ac:dyDescent="0.3">
      <c r="B22" s="16" t="str">
        <f t="shared" si="2"/>
        <v>Dydd Llun / Monday 06/04/2026</v>
      </c>
      <c r="C22" s="17">
        <f>Enter_daily_hours!D8</f>
        <v>0</v>
      </c>
      <c r="D22" s="4" t="s">
        <v>43</v>
      </c>
      <c r="E22" s="9" t="b">
        <f t="shared" si="0"/>
        <v>1</v>
      </c>
      <c r="F22" s="17">
        <f t="shared" si="1"/>
        <v>7.3</v>
      </c>
      <c r="G22" s="41">
        <v>46118</v>
      </c>
      <c r="H22" s="9" t="s">
        <v>44</v>
      </c>
      <c r="I22" s="9" t="s">
        <v>45</v>
      </c>
      <c r="J22" s="21">
        <f t="shared" si="3"/>
        <v>1</v>
      </c>
      <c r="K22" s="9" t="str">
        <f t="shared" si="4"/>
        <v>Dydd Llun / Monday</v>
      </c>
      <c r="O22" s="2">
        <v>3</v>
      </c>
      <c r="P22" s="2" t="s">
        <v>48</v>
      </c>
      <c r="Q22" s="2"/>
    </row>
    <row r="23" spans="1:17" ht="15.75" thickBot="1" x14ac:dyDescent="0.3">
      <c r="B23" s="16" t="str">
        <f t="shared" si="2"/>
        <v>Dydd Mawrth / Tuesday 07/04/2026</v>
      </c>
      <c r="C23" s="17">
        <f>Enter_daily_hours!D9</f>
        <v>0</v>
      </c>
      <c r="D23" s="4" t="s">
        <v>43</v>
      </c>
      <c r="E23" s="9" t="b">
        <f t="shared" si="0"/>
        <v>1</v>
      </c>
      <c r="F23" s="17">
        <f t="shared" si="1"/>
        <v>7.3</v>
      </c>
      <c r="G23" s="41">
        <v>46119</v>
      </c>
      <c r="H23" s="9" t="s">
        <v>49</v>
      </c>
      <c r="I23" s="9" t="s">
        <v>50</v>
      </c>
      <c r="J23" s="21">
        <f t="shared" si="3"/>
        <v>2</v>
      </c>
      <c r="K23" s="9" t="str">
        <f t="shared" si="4"/>
        <v>Dydd Mawrth / Tuesday</v>
      </c>
      <c r="O23" s="2">
        <v>4</v>
      </c>
      <c r="P23" s="2" t="s">
        <v>51</v>
      </c>
      <c r="Q23" s="2"/>
    </row>
    <row r="24" spans="1:17" ht="15.75" thickBot="1" x14ac:dyDescent="0.3">
      <c r="B24" s="16" t="str">
        <f t="shared" si="2"/>
        <v>Dydd Llun / Monday 04/05/2026</v>
      </c>
      <c r="C24" s="17">
        <f>Enter_daily_hours!D10</f>
        <v>0</v>
      </c>
      <c r="D24" s="4" t="s">
        <v>43</v>
      </c>
      <c r="E24" s="9" t="b">
        <f t="shared" si="0"/>
        <v>1</v>
      </c>
      <c r="F24" s="17">
        <f t="shared" si="1"/>
        <v>7.3</v>
      </c>
      <c r="G24" s="41">
        <v>46146</v>
      </c>
      <c r="H24" s="9" t="s">
        <v>44</v>
      </c>
      <c r="I24" s="9" t="s">
        <v>45</v>
      </c>
      <c r="J24" s="21">
        <f t="shared" si="3"/>
        <v>1</v>
      </c>
      <c r="K24" s="9" t="str">
        <f t="shared" si="4"/>
        <v>Dydd Llun / Monday</v>
      </c>
      <c r="O24" s="2">
        <v>5</v>
      </c>
      <c r="P24" s="2" t="s">
        <v>52</v>
      </c>
      <c r="Q24" s="2"/>
    </row>
    <row r="25" spans="1:17" ht="15.75" thickBot="1" x14ac:dyDescent="0.3">
      <c r="B25" s="16" t="str">
        <f t="shared" si="2"/>
        <v>Dydd Llun / Monday 25/05/2026</v>
      </c>
      <c r="C25" s="17">
        <f>Enter_daily_hours!D11</f>
        <v>0</v>
      </c>
      <c r="D25" s="4" t="s">
        <v>43</v>
      </c>
      <c r="E25" s="9" t="b">
        <f t="shared" si="0"/>
        <v>1</v>
      </c>
      <c r="F25" s="17">
        <f t="shared" si="1"/>
        <v>7.3</v>
      </c>
      <c r="G25" s="41">
        <v>46167</v>
      </c>
      <c r="H25" s="9" t="s">
        <v>44</v>
      </c>
      <c r="I25" s="9" t="s">
        <v>45</v>
      </c>
      <c r="J25" s="21">
        <f t="shared" si="3"/>
        <v>1</v>
      </c>
      <c r="K25" s="9" t="str">
        <f t="shared" si="4"/>
        <v>Dydd Llun / Monday</v>
      </c>
    </row>
    <row r="26" spans="1:17" ht="15.75" thickBot="1" x14ac:dyDescent="0.3">
      <c r="B26" s="16" t="str">
        <f t="shared" si="2"/>
        <v>Dydd Llun / Monday 31/08/2026</v>
      </c>
      <c r="C26" s="17">
        <f>Enter_daily_hours!D12</f>
        <v>0</v>
      </c>
      <c r="D26" s="4" t="s">
        <v>43</v>
      </c>
      <c r="E26" s="9" t="b">
        <f t="shared" si="0"/>
        <v>1</v>
      </c>
      <c r="F26" s="17">
        <f t="shared" si="1"/>
        <v>7.3</v>
      </c>
      <c r="G26" s="41">
        <v>46265</v>
      </c>
      <c r="H26" s="9" t="s">
        <v>44</v>
      </c>
      <c r="I26" s="9" t="s">
        <v>45</v>
      </c>
      <c r="J26" s="21">
        <f t="shared" si="3"/>
        <v>1</v>
      </c>
      <c r="K26" s="9" t="str">
        <f t="shared" si="4"/>
        <v>Dydd Llun / Monday</v>
      </c>
    </row>
    <row r="27" spans="1:17" ht="15.75" thickBot="1" x14ac:dyDescent="0.3">
      <c r="B27" s="16" t="str">
        <f t="shared" si="2"/>
        <v>Dydd Iau  / Thursday 24/12/2026</v>
      </c>
      <c r="C27" s="17">
        <f>Enter_daily_hours!D13</f>
        <v>0</v>
      </c>
      <c r="D27" s="4" t="s">
        <v>43</v>
      </c>
      <c r="E27" s="9" t="b">
        <f t="shared" si="0"/>
        <v>1</v>
      </c>
      <c r="F27" s="17">
        <f t="shared" si="1"/>
        <v>7.3</v>
      </c>
      <c r="G27" s="41">
        <v>46380</v>
      </c>
      <c r="H27" s="9" t="s">
        <v>49</v>
      </c>
      <c r="I27" s="9" t="s">
        <v>50</v>
      </c>
      <c r="J27" s="21">
        <f t="shared" si="3"/>
        <v>4</v>
      </c>
      <c r="K27" s="9" t="str">
        <f>VLOOKUP(J27,daysofweek,2,FALSE)</f>
        <v>Dydd Iau  / Thursday</v>
      </c>
    </row>
    <row r="28" spans="1:17" ht="15.75" thickBot="1" x14ac:dyDescent="0.3">
      <c r="B28" s="16" t="str">
        <f t="shared" si="2"/>
        <v>Dydd Gwener / Friday 25/12/2026</v>
      </c>
      <c r="C28" s="17">
        <f>Enter_daily_hours!D14</f>
        <v>0</v>
      </c>
      <c r="D28" s="4" t="s">
        <v>43</v>
      </c>
      <c r="E28" s="9" t="b">
        <f t="shared" si="0"/>
        <v>1</v>
      </c>
      <c r="F28" s="17">
        <f t="shared" si="1"/>
        <v>7.3</v>
      </c>
      <c r="G28" s="41">
        <v>46381</v>
      </c>
      <c r="H28" s="9" t="s">
        <v>44</v>
      </c>
      <c r="I28" s="9" t="s">
        <v>45</v>
      </c>
      <c r="J28" s="21">
        <f t="shared" si="3"/>
        <v>5</v>
      </c>
      <c r="K28" s="9" t="str">
        <f>VLOOKUP(J28,daysofweek,2,FALSE)</f>
        <v>Dydd Gwener / Friday</v>
      </c>
    </row>
    <row r="29" spans="1:17" ht="15.75" thickBot="1" x14ac:dyDescent="0.3">
      <c r="B29" s="16" t="str">
        <f t="shared" si="2"/>
        <v>Dydd Llun / Monday 28/12/2026</v>
      </c>
      <c r="C29" s="17">
        <f>Enter_daily_hours!D15</f>
        <v>0</v>
      </c>
      <c r="D29" s="4" t="s">
        <v>43</v>
      </c>
      <c r="E29" s="9" t="b">
        <f t="shared" si="0"/>
        <v>1</v>
      </c>
      <c r="F29" s="17">
        <f t="shared" si="1"/>
        <v>7.3</v>
      </c>
      <c r="G29" s="41">
        <v>46384</v>
      </c>
      <c r="H29" s="9" t="s">
        <v>44</v>
      </c>
      <c r="I29" s="9" t="s">
        <v>45</v>
      </c>
      <c r="J29" s="21">
        <f t="shared" si="3"/>
        <v>1</v>
      </c>
      <c r="K29" s="9" t="str">
        <f>VLOOKUP(J29,daysofweek,2,FALSE)</f>
        <v>Dydd Llun / Monday</v>
      </c>
    </row>
    <row r="30" spans="1:17" ht="15.75" thickBot="1" x14ac:dyDescent="0.3">
      <c r="B30" s="16" t="str">
        <f t="shared" si="2"/>
        <v>Dydd Mawrth / Tuesday 29/12/2026</v>
      </c>
      <c r="C30" s="17">
        <f>Enter_daily_hours!D16</f>
        <v>0</v>
      </c>
      <c r="D30" s="4" t="s">
        <v>43</v>
      </c>
      <c r="E30" s="9" t="b">
        <f t="shared" si="0"/>
        <v>1</v>
      </c>
      <c r="F30" s="17">
        <f t="shared" si="1"/>
        <v>7.3</v>
      </c>
      <c r="G30" s="41">
        <v>46385</v>
      </c>
      <c r="H30" s="9" t="s">
        <v>49</v>
      </c>
      <c r="I30" s="9" t="s">
        <v>50</v>
      </c>
      <c r="J30" s="21">
        <f t="shared" si="3"/>
        <v>2</v>
      </c>
      <c r="K30" s="9" t="str">
        <f t="shared" si="4"/>
        <v>Dydd Mawrth / Tuesday</v>
      </c>
    </row>
    <row r="31" spans="1:17" ht="15.75" thickBot="1" x14ac:dyDescent="0.3">
      <c r="B31" s="16" t="str">
        <f t="shared" si="2"/>
        <v>Dydd Mercher / Wednesday 30/12/2026</v>
      </c>
      <c r="C31" s="17">
        <f>Enter_daily_hours!D17</f>
        <v>0</v>
      </c>
      <c r="D31" s="4" t="s">
        <v>43</v>
      </c>
      <c r="E31" s="9" t="b">
        <f t="shared" si="0"/>
        <v>1</v>
      </c>
      <c r="F31" s="17">
        <f t="shared" si="1"/>
        <v>7.3</v>
      </c>
      <c r="G31" s="41">
        <v>46386</v>
      </c>
      <c r="H31" s="9" t="s">
        <v>49</v>
      </c>
      <c r="I31" s="9" t="s">
        <v>50</v>
      </c>
      <c r="J31" s="21">
        <f t="shared" si="3"/>
        <v>3</v>
      </c>
      <c r="K31" s="9" t="str">
        <f t="shared" si="4"/>
        <v>Dydd Mercher / Wednesday</v>
      </c>
    </row>
    <row r="32" spans="1:17" x14ac:dyDescent="0.25">
      <c r="B32" s="16" t="str">
        <f t="shared" si="2"/>
        <v>Dydd Iau  / Thursday 31/12/2026</v>
      </c>
      <c r="C32" s="17">
        <f>Enter_daily_hours!D18</f>
        <v>0</v>
      </c>
      <c r="D32" s="4" t="s">
        <v>43</v>
      </c>
      <c r="E32" s="9" t="b">
        <f t="shared" si="0"/>
        <v>1</v>
      </c>
      <c r="F32" s="17">
        <f t="shared" si="1"/>
        <v>7.3</v>
      </c>
      <c r="G32" s="41">
        <v>46387</v>
      </c>
      <c r="H32" s="9" t="s">
        <v>49</v>
      </c>
      <c r="I32" s="9" t="s">
        <v>50</v>
      </c>
      <c r="J32" s="21">
        <f t="shared" si="3"/>
        <v>4</v>
      </c>
      <c r="K32" s="9" t="str">
        <f t="shared" si="4"/>
        <v>Dydd Iau  / Thursday</v>
      </c>
    </row>
    <row r="33" spans="2:10" ht="15.75" thickBot="1" x14ac:dyDescent="0.3">
      <c r="B33" s="12" t="s">
        <v>53</v>
      </c>
      <c r="C33" s="33">
        <f>SUM(C20:C32)</f>
        <v>0</v>
      </c>
      <c r="D33" s="19" t="s">
        <v>54</v>
      </c>
      <c r="F33" s="18">
        <f ca="1">SUMIF(E20:F32,"=TRUE",F20:F32)</f>
        <v>94.899999999999977</v>
      </c>
      <c r="J33" s="4"/>
    </row>
    <row r="34" spans="2:10" x14ac:dyDescent="0.25">
      <c r="B34" s="9" t="s">
        <v>55</v>
      </c>
      <c r="C34" s="40">
        <f ca="1">IF(C4&gt;36.5,F33*94.9,(F33*C6))</f>
        <v>0</v>
      </c>
    </row>
    <row r="35" spans="2:10" ht="15.75" thickBot="1" x14ac:dyDescent="0.3">
      <c r="B35" s="12" t="s">
        <v>56</v>
      </c>
      <c r="C35" s="29"/>
    </row>
    <row r="36" spans="2:10" ht="15.75" thickBot="1" x14ac:dyDescent="0.3">
      <c r="B36" s="9" t="s">
        <v>57</v>
      </c>
      <c r="C36" s="27">
        <f ca="1">C34</f>
        <v>0</v>
      </c>
      <c r="F36" s="27">
        <f ca="1">F33*E5</f>
        <v>0</v>
      </c>
    </row>
    <row r="37" spans="2:10" ht="15.75" thickBot="1" x14ac:dyDescent="0.3">
      <c r="B37" s="9" t="s">
        <v>58</v>
      </c>
      <c r="C37" s="27">
        <f>C33</f>
        <v>0</v>
      </c>
      <c r="F37" s="27">
        <f>C33</f>
        <v>0</v>
      </c>
    </row>
    <row r="38" spans="2:10" ht="15.75" thickBot="1" x14ac:dyDescent="0.3">
      <c r="C38" s="29"/>
      <c r="F38" s="29"/>
    </row>
    <row r="39" spans="2:10" ht="15.75" thickBot="1" x14ac:dyDescent="0.3">
      <c r="B39" s="9" t="s">
        <v>59</v>
      </c>
      <c r="C39" s="30">
        <f ca="1">C36-C37</f>
        <v>0</v>
      </c>
      <c r="F39" s="30">
        <f ca="1">F36-F37</f>
        <v>0</v>
      </c>
    </row>
    <row r="40" spans="2:10" ht="15.75" thickBot="1" x14ac:dyDescent="0.3">
      <c r="C40" s="29"/>
      <c r="F40" s="29"/>
      <c r="G40" s="20"/>
    </row>
    <row r="41" spans="2:10" ht="15.75" thickBot="1" x14ac:dyDescent="0.3">
      <c r="B41" s="9" t="s">
        <v>60</v>
      </c>
      <c r="C41" s="30">
        <f>I15</f>
        <v>0</v>
      </c>
      <c r="F41" s="30">
        <f>IF(G15=0,0,SUM(197.1*E5)*C15)</f>
        <v>0</v>
      </c>
    </row>
    <row r="42" spans="2:10" ht="15.75" thickBot="1" x14ac:dyDescent="0.3">
      <c r="C42" s="29"/>
      <c r="F42" s="29"/>
    </row>
    <row r="43" spans="2:10" ht="15.75" thickBot="1" x14ac:dyDescent="0.3">
      <c r="B43" s="9" t="s">
        <v>61</v>
      </c>
      <c r="C43" s="30">
        <f ca="1">SUM(C41+C39)</f>
        <v>0</v>
      </c>
      <c r="F43" s="30">
        <f ca="1">SUM(F41+F39)</f>
        <v>0</v>
      </c>
    </row>
    <row r="44" spans="2:10" ht="15.75" thickBot="1" x14ac:dyDescent="0.3">
      <c r="C44" s="29"/>
      <c r="F44" s="29"/>
    </row>
    <row r="45" spans="2:10" ht="15.75" thickBot="1" x14ac:dyDescent="0.3">
      <c r="B45" s="12" t="s">
        <v>62</v>
      </c>
      <c r="C45" s="30">
        <f ca="1">SUM(C43+C17)</f>
        <v>0</v>
      </c>
      <c r="F45" s="30">
        <f ca="1">SUM(F43+F37)</f>
        <v>0</v>
      </c>
    </row>
  </sheetData>
  <sheetProtection algorithmName="SHA-512" hashValue="ESRs1SrJn0qUVdYYIQZx2sKBQn31mSJbhdltlC9dKo5vZ177HU07eN39CRJ8+jzzBliwoId6wj2QA7bPLjB5fw==" saltValue="h3BBPI+3rCEPqYMCizRIug==" spinCount="100000" sheet="1" selectLockedCells="1"/>
  <mergeCells count="2">
    <mergeCell ref="B2:K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Enter_Hours</vt:lpstr>
      <vt:lpstr>Enter_daily_hours</vt:lpstr>
      <vt:lpstr>Gwerth - Final</vt:lpstr>
      <vt:lpstr>Calculations</vt:lpstr>
      <vt:lpstr>daysofweek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Sioned Wyn</dc:creator>
  <cp:keywords/>
  <dc:description/>
  <cp:lastModifiedBy>Katy Peat [kap25] (Staff)</cp:lastModifiedBy>
  <cp:revision/>
  <dcterms:created xsi:type="dcterms:W3CDTF">2016-02-12T16:12:41Z</dcterms:created>
  <dcterms:modified xsi:type="dcterms:W3CDTF">2024-03-20T15:35:57Z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dfecbd-fc97-4e8a-a9cd-19ed496c406e_Enabled">
    <vt:lpwstr>true</vt:lpwstr>
  </property>
  <property fmtid="{D5CDD505-2E9C-101B-9397-08002B2CF9AE}" pid="3" name="MSIP_Label_f2dfecbd-fc97-4e8a-a9cd-19ed496c406e_SetDate">
    <vt:lpwstr>2023-01-11T10:28:47Z</vt:lpwstr>
  </property>
  <property fmtid="{D5CDD505-2E9C-101B-9397-08002B2CF9AE}" pid="4" name="MSIP_Label_f2dfecbd-fc97-4e8a-a9cd-19ed496c406e_Method">
    <vt:lpwstr>Standard</vt:lpwstr>
  </property>
  <property fmtid="{D5CDD505-2E9C-101B-9397-08002B2CF9AE}" pid="5" name="MSIP_Label_f2dfecbd-fc97-4e8a-a9cd-19ed496c406e_Name">
    <vt:lpwstr>defa4170-0d19-0005-0004-bc88714345d2</vt:lpwstr>
  </property>
  <property fmtid="{D5CDD505-2E9C-101B-9397-08002B2CF9AE}" pid="6" name="MSIP_Label_f2dfecbd-fc97-4e8a-a9cd-19ed496c406e_SiteId">
    <vt:lpwstr>d47b090e-3f5a-4ca0-84d0-9f89d269f175</vt:lpwstr>
  </property>
  <property fmtid="{D5CDD505-2E9C-101B-9397-08002B2CF9AE}" pid="7" name="MSIP_Label_f2dfecbd-fc97-4e8a-a9cd-19ed496c406e_ActionId">
    <vt:lpwstr>9617af25-1a69-43c2-b7a4-1d9742693ec1</vt:lpwstr>
  </property>
  <property fmtid="{D5CDD505-2E9C-101B-9397-08002B2CF9AE}" pid="8" name="MSIP_Label_f2dfecbd-fc97-4e8a-a9cd-19ed496c406e_ContentBits">
    <vt:lpwstr>0</vt:lpwstr>
  </property>
</Properties>
</file>