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prifysgolaber-my.sharepoint.com/personal/mfd_aber_ac_uk/Documents/Documents/Becky-working/Annual leave and closed days/Calculators/"/>
    </mc:Choice>
  </mc:AlternateContent>
  <xr:revisionPtr revIDLastSave="53" documentId="13_ncr:1_{41CB35E6-429A-4EED-96FF-39CE20BA60A6}" xr6:coauthVersionLast="47" xr6:coauthVersionMax="47" xr10:uidLastSave="{E7A23621-F04F-4383-8F66-3EB9927D050B}"/>
  <bookViews>
    <workbookView xWindow="-108" yWindow="-108" windowWidth="23256" windowHeight="12456" xr2:uid="{00000000-000D-0000-FFFF-FFFF00000000}"/>
  </bookViews>
  <sheets>
    <sheet name="Individual Arrangements" sheetId="4" r:id="rId1"/>
    <sheet name="Gwerth - Final" sheetId="10" r:id="rId2"/>
    <sheet name="Calculations" sheetId="3" state="hidden" r:id="rId3"/>
  </sheets>
  <definedNames>
    <definedName name="daysofweek">Calculations!$O$20:$P$24</definedName>
    <definedName name="dow_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  <c r="C31" i="3"/>
  <c r="C30" i="3"/>
  <c r="C29" i="3"/>
  <c r="C28" i="3"/>
  <c r="F35" i="4"/>
  <c r="F34" i="4"/>
  <c r="F33" i="4"/>
  <c r="F32" i="4"/>
  <c r="F31" i="4"/>
  <c r="F30" i="4"/>
  <c r="F29" i="4"/>
  <c r="F28" i="4"/>
  <c r="F27" i="4"/>
  <c r="F26" i="4"/>
  <c r="F25" i="4"/>
  <c r="F24" i="4"/>
  <c r="J29" i="3"/>
  <c r="K29" i="3" s="1"/>
  <c r="J28" i="3"/>
  <c r="K28" i="3" s="1"/>
  <c r="B28" i="3" s="1"/>
  <c r="C5" i="3"/>
  <c r="E5" i="3" s="1"/>
  <c r="G32" i="4" l="1"/>
  <c r="B29" i="3"/>
  <c r="G31" i="4"/>
  <c r="F23" i="4"/>
  <c r="C11" i="3"/>
  <c r="C8" i="3"/>
  <c r="E31" i="4" l="1"/>
  <c r="B31" i="4" s="1"/>
  <c r="E35" i="4"/>
  <c r="E29" i="4"/>
  <c r="E24" i="4"/>
  <c r="E33" i="4"/>
  <c r="E28" i="4"/>
  <c r="E25" i="4"/>
  <c r="E32" i="4"/>
  <c r="B32" i="4" s="1"/>
  <c r="E27" i="4"/>
  <c r="E26" i="4"/>
  <c r="E30" i="4"/>
  <c r="E34" i="4"/>
  <c r="E28" i="3"/>
  <c r="F28" i="3" s="1"/>
  <c r="E29" i="3"/>
  <c r="F29" i="3" s="1"/>
  <c r="C14" i="3"/>
  <c r="E20" i="3"/>
  <c r="F20" i="3" s="1"/>
  <c r="E23" i="4"/>
  <c r="C27" i="3"/>
  <c r="C26" i="3"/>
  <c r="C25" i="3"/>
  <c r="C24" i="3"/>
  <c r="C23" i="3"/>
  <c r="C22" i="3"/>
  <c r="C21" i="3"/>
  <c r="J20" i="3" l="1"/>
  <c r="K20" i="3" l="1"/>
  <c r="G23" i="4" s="1"/>
  <c r="B23" i="4" s="1"/>
  <c r="C20" i="3"/>
  <c r="C33" i="3" s="1"/>
  <c r="C17" i="3"/>
  <c r="C4" i="3"/>
  <c r="C16" i="10" l="1"/>
  <c r="G16" i="10"/>
  <c r="F37" i="3"/>
  <c r="G10" i="10" s="1"/>
  <c r="C37" i="3"/>
  <c r="C15" i="3"/>
  <c r="F41" i="3" l="1"/>
  <c r="G4" i="10" s="1"/>
  <c r="J32" i="3"/>
  <c r="K32" i="3" s="1"/>
  <c r="J31" i="3"/>
  <c r="K31" i="3" s="1"/>
  <c r="J30" i="3"/>
  <c r="K30" i="3" s="1"/>
  <c r="J27" i="3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C6" i="3"/>
  <c r="C41" i="3" s="1"/>
  <c r="G35" i="4" l="1"/>
  <c r="B35" i="4" s="1"/>
  <c r="G34" i="4"/>
  <c r="B34" i="4" s="1"/>
  <c r="G33" i="4"/>
  <c r="B33" i="4" s="1"/>
  <c r="G29" i="4"/>
  <c r="B29" i="4" s="1"/>
  <c r="G28" i="4"/>
  <c r="B28" i="4" s="1"/>
  <c r="G27" i="4"/>
  <c r="B27" i="4" s="1"/>
  <c r="G26" i="4"/>
  <c r="B26" i="4" s="1"/>
  <c r="G25" i="4"/>
  <c r="B25" i="4" s="1"/>
  <c r="G24" i="4"/>
  <c r="B24" i="4" s="1"/>
  <c r="K27" i="3"/>
  <c r="G30" i="4" s="1"/>
  <c r="B30" i="4" s="1"/>
  <c r="C4" i="10"/>
  <c r="B32" i="3"/>
  <c r="B31" i="3"/>
  <c r="B30" i="3"/>
  <c r="B26" i="3"/>
  <c r="B25" i="3"/>
  <c r="B24" i="3"/>
  <c r="B23" i="3"/>
  <c r="B22" i="3"/>
  <c r="B21" i="3"/>
  <c r="B20" i="3"/>
  <c r="E24" i="3"/>
  <c r="F24" i="3" s="1"/>
  <c r="E32" i="3"/>
  <c r="F32" i="3" s="1"/>
  <c r="E26" i="3"/>
  <c r="F26" i="3" s="1"/>
  <c r="E22" i="3"/>
  <c r="F22" i="3" s="1"/>
  <c r="E30" i="3"/>
  <c r="F30" i="3" s="1"/>
  <c r="E21" i="3"/>
  <c r="E23" i="3"/>
  <c r="F23" i="3" s="1"/>
  <c r="E25" i="3"/>
  <c r="F25" i="3" s="1"/>
  <c r="E27" i="3"/>
  <c r="F27" i="3" s="1"/>
  <c r="E31" i="3"/>
  <c r="F31" i="3" s="1"/>
  <c r="B27" i="3" l="1"/>
  <c r="F21" i="3"/>
  <c r="F33" i="3" s="1"/>
  <c r="C34" i="3" s="1"/>
  <c r="C10" i="10"/>
  <c r="C36" i="3" l="1"/>
  <c r="F36" i="3"/>
  <c r="F39" i="3" s="1"/>
  <c r="F43" i="3" s="1"/>
  <c r="F45" i="3" s="1"/>
  <c r="C39" i="3" l="1"/>
  <c r="C43" i="3" s="1"/>
  <c r="C45" i="3" s="1"/>
  <c r="G7" i="10"/>
  <c r="C19" i="10" l="1"/>
  <c r="C13" i="10"/>
  <c r="C7" i="10"/>
  <c r="G19" i="10"/>
  <c r="G1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Chris Swales </author>
  </authors>
  <commentList>
    <comment ref="H2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IF you work days of varying length or you don't work Monday to Friday then enter the normal working hours against the bank holidays / closed days that are within the employment range 
i.e. If you work Monday, Tuesday and Wednesday only enter your working hours against those days.  
or 
if you work 4 hours on a Monday, 3 hours on a Tuesday and 8 hours Wendesday, Thursday and Friday.</t>
        </r>
      </text>
    </comment>
  </commentList>
</comments>
</file>

<file path=xl/sharedStrings.xml><?xml version="1.0" encoding="utf-8"?>
<sst xmlns="http://schemas.openxmlformats.org/spreadsheetml/2006/main" count="132" uniqueCount="87">
  <si>
    <t>(i.e. 01/01/2015)</t>
  </si>
  <si>
    <t>(i.e. 31/12/2015)</t>
  </si>
  <si>
    <t>(i.e. 7.5 (hours), 6.5 (hours), 7.3 (hours)</t>
  </si>
  <si>
    <t>PH</t>
  </si>
  <si>
    <t>CD</t>
  </si>
  <si>
    <t>Annual Leave Entitlement</t>
  </si>
  <si>
    <t xml:space="preserve">Cyfrifiadau / Calculations </t>
  </si>
  <si>
    <t>Cam 1 / Step 1</t>
  </si>
  <si>
    <t>Oriau dan Gontract / Contracted Hours</t>
  </si>
  <si>
    <t>Cyfwerth ag amser llawn / FTE</t>
  </si>
  <si>
    <t>Cam 2 / Step 2</t>
  </si>
  <si>
    <t>Rhowch ddyddiad dechrau flwyddyn wyliau / Enter Leave Year start date</t>
  </si>
  <si>
    <t>Cam 3 / Step 3</t>
  </si>
  <si>
    <t>Rhowch ddyddiad diwedd y flwyddyn wyliau / Enter Annual Leave Year end date</t>
  </si>
  <si>
    <t>Diwrnodau gwaith / Working Days</t>
  </si>
  <si>
    <t>Cyfran y diwrnodau a weithiwyd / Proportion of days worked</t>
  </si>
  <si>
    <t>Cam 4 / Step 4</t>
  </si>
  <si>
    <t>oriau i fynd ymlaen / Carry Forward hours</t>
  </si>
  <si>
    <t>Cam 5 / Step 5</t>
  </si>
  <si>
    <t>Gŵyl y banc/ Patrwm gwaith diwrnod mae’r Brifysgol ar gau; Bank Holiday / Closed Day Work Pattern</t>
  </si>
  <si>
    <t>Actual based on Work Pattern</t>
  </si>
  <si>
    <t>FTE Entitlement</t>
  </si>
  <si>
    <t>Date</t>
  </si>
  <si>
    <t>Type</t>
  </si>
  <si>
    <t>Gwyliau cyhoeddus / Public Holiday</t>
  </si>
  <si>
    <t>Dydd Iau  / Thursday</t>
  </si>
  <si>
    <t>Dydd Gwener / Friday</t>
  </si>
  <si>
    <t>Dydd Llun / Monday</t>
  </si>
  <si>
    <t>Diwrnod ar gau / Closed Day</t>
  </si>
  <si>
    <t>Dydd Mawrth / Tuesday</t>
  </si>
  <si>
    <t>Dydd Mercher / Wednesday</t>
  </si>
  <si>
    <t>Defnydd Gŵyl y Banc / Bank Holiday usage</t>
  </si>
  <si>
    <t>Totals</t>
  </si>
  <si>
    <t>Hawl  / Entitlement</t>
  </si>
  <si>
    <t>Hawl i Wyliau Banc &amp; Hawl i wyliau Blynyddol; Bank Holidays &amp; Annual Leave Entitlement</t>
  </si>
  <si>
    <t>Defnydd Gŵyl y Banc &amp; Hawl i wyliau Blynyddol; Bank Holidays &amp; Annual Leave Usage</t>
  </si>
  <si>
    <t>Gwyliau cyhoeddus / Defnydd Gŵyl y Banc Yn erbyn Hawl ;  BH CD Usage vs Entitlement</t>
  </si>
  <si>
    <t>Hawl i wyliau Blynyddol / Annual Leave Entitlement</t>
  </si>
  <si>
    <t>Hawl i wyliau Blynyddol / Hawl i Wyliau Banc;  Annual leave entitlement / BH adjustment</t>
  </si>
  <si>
    <t>Cyfanswm / Total</t>
  </si>
  <si>
    <t>Rhowch oriau wythnosol</t>
  </si>
  <si>
    <t>Enter weekly hours</t>
  </si>
  <si>
    <t>Rhowch ddyddiad dechrau flwyddyn wyliau</t>
  </si>
  <si>
    <t>Enter leave year start date</t>
  </si>
  <si>
    <t>Rhowch ddyddiad diwedd y flwyddyn wyliau</t>
  </si>
  <si>
    <t>Enter leave year end date</t>
  </si>
  <si>
    <t>Enter carry forward hours</t>
  </si>
  <si>
    <t>Bank Holiday / Closed Day work pattern</t>
  </si>
  <si>
    <t>Hawl Gwyliau Blynyddol</t>
  </si>
  <si>
    <r>
      <t>Hawl Gwyliau G</t>
    </r>
    <r>
      <rPr>
        <sz val="11"/>
        <color theme="1"/>
        <rFont val="Calibri"/>
        <family val="2"/>
      </rPr>
      <t>ŵyl y Banc</t>
    </r>
  </si>
  <si>
    <t>Bank Holiday Entitlement</t>
  </si>
  <si>
    <r>
      <t>Defnydd G</t>
    </r>
    <r>
      <rPr>
        <sz val="11"/>
        <color theme="1"/>
        <rFont val="Calibri"/>
        <family val="2"/>
      </rPr>
      <t>ŵyl y Banc</t>
    </r>
  </si>
  <si>
    <t>Bank Holiday Usage</t>
  </si>
  <si>
    <r>
      <t>Defnydd G</t>
    </r>
    <r>
      <rPr>
        <sz val="11"/>
        <color theme="1"/>
        <rFont val="Calibri"/>
        <family val="2"/>
      </rPr>
      <t>ŵyl y Banc / Addasiad i'r hawl</t>
    </r>
  </si>
  <si>
    <t>Bank Holiday Usage / Entitlement Adjustment</t>
  </si>
  <si>
    <t>Balans a ddygwyd ymlaen</t>
  </si>
  <si>
    <t>Carried forward balance</t>
  </si>
  <si>
    <t>My Annual Leave Entitlement</t>
  </si>
  <si>
    <t>Fy hawl i wyliau blynyddol</t>
  </si>
  <si>
    <t>All individuals who work bank holidays will be required to book these days as annual leave.</t>
  </si>
  <si>
    <t>Nesaf / Next</t>
  </si>
  <si>
    <t>Annualised Hours</t>
  </si>
  <si>
    <t>FTE</t>
  </si>
  <si>
    <t xml:space="preserve"> If your weekly hours vary then please input your annual hours when using the calculator</t>
  </si>
  <si>
    <t>Bank Holiday Entitlement if ProRatad</t>
  </si>
  <si>
    <t>The full time Annual Leave entitlement is 197.1 hours. All entitlements will be pro-rata based on your hours of work</t>
  </si>
  <si>
    <t>Please note: bank holiday/closed day usage will be only displayed if working hours are entered</t>
  </si>
  <si>
    <t>Please note: adjustments will only be displayed if working days and hours are entered on the previous screen</t>
  </si>
  <si>
    <t>NB: Normally 01/01/2022, unless role started part-year</t>
  </si>
  <si>
    <t>NB: Normally 31/12/2022, unless role ended part-year</t>
  </si>
  <si>
    <t>(i.e. 7.3 (hours), h.y. 7.3 (awr)</t>
  </si>
  <si>
    <t>2023 Entitlement / Cyfanswm 2023</t>
  </si>
  <si>
    <t>The full time BH/CD entitlement for 2023 is 94.9 hours. All entitlements will be pro-rata based on your hours of work</t>
  </si>
  <si>
    <t>Noder: Pan na gyflwynwyd unrhyw batrwm gwaith, bydd gwyliau blynyddol, gŵyl y banc a hawl gwyliau cyhoeddus yn cael eu grwpio gyda'i gilydd</t>
  </si>
  <si>
    <t xml:space="preserve">NB: When no work pattern is submitted, Annual Leave, Bank Holiday &amp; Public Holiday entitlement will be grouped </t>
  </si>
  <si>
    <t>Neu / Or</t>
  </si>
  <si>
    <t>Oriau blynyddol</t>
  </si>
  <si>
    <t>Noder:  01/01/2022 fel arfer, oni bai dechreuodd y swydd yn ystod y flwyddyn</t>
  </si>
  <si>
    <t>Os yw eich oriau wythnosol yn amrywio 
yna dylech fewnbynnu eich oriau blynyddol wrth ddefnyddio'r cyfrifiannell</t>
  </si>
  <si>
    <t>Noder:  31/12/2022 fel arfer, oni bai gorffennodd y swydd yn ystod y flwyddyn</t>
  </si>
  <si>
    <t xml:space="preserve">Rhowch oriau i'w cario ymlaen </t>
  </si>
  <si>
    <t xml:space="preserve">Patrwm gwaith Gŵyl y banc / Diwrnod mae’r Brifysgol ar gau </t>
  </si>
  <si>
    <t xml:space="preserve"> Cyfanswm  2023  Entitlement</t>
  </si>
  <si>
    <t>Cyfanswm  2023  Entitlement</t>
  </si>
  <si>
    <t>NEU / OR</t>
  </si>
  <si>
    <t>Contract Oriau Wythnosol 
Weekly Hours Contract</t>
  </si>
  <si>
    <t>Contract Oriau Blynyddol 
Annualised Hours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</si>
</sst>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0B0C0C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2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14" fontId="0" fillId="2" borderId="0" xfId="0" applyNumberFormat="1" applyFill="1"/>
    <xf numFmtId="0" fontId="5" fillId="2" borderId="0" xfId="2" applyFill="1"/>
    <xf numFmtId="0" fontId="7" fillId="0" borderId="0" xfId="0" applyFont="1" applyAlignment="1">
      <alignment vertical="center" wrapText="1"/>
    </xf>
    <xf numFmtId="0" fontId="2" fillId="2" borderId="0" xfId="0" applyFont="1" applyFill="1" applyBorder="1"/>
    <xf numFmtId="14" fontId="2" fillId="2" borderId="0" xfId="0" applyNumberFormat="1" applyFont="1" applyFill="1" applyBorder="1"/>
    <xf numFmtId="0" fontId="0" fillId="4" borderId="1" xfId="0" applyFill="1" applyBorder="1" applyAlignment="1" applyProtection="1">
      <alignment horizontal="center"/>
      <protection locked="0"/>
    </xf>
    <xf numFmtId="0" fontId="10" fillId="2" borderId="0" xfId="0" applyFont="1" applyFill="1"/>
    <xf numFmtId="0" fontId="10" fillId="2" borderId="0" xfId="0" applyFont="1" applyFill="1" applyBorder="1"/>
    <xf numFmtId="2" fontId="0" fillId="2" borderId="0" xfId="0" applyNumberFormat="1" applyFill="1"/>
    <xf numFmtId="2" fontId="0" fillId="2" borderId="0" xfId="0" applyNumberFormat="1" applyFill="1" applyBorder="1" applyAlignment="1">
      <alignment horizontal="center" vertical="center"/>
    </xf>
    <xf numFmtId="0" fontId="12" fillId="2" borderId="0" xfId="0" applyFont="1" applyFill="1"/>
    <xf numFmtId="0" fontId="10" fillId="2" borderId="1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4" fontId="10" fillId="2" borderId="0" xfId="0" applyNumberFormat="1" applyFont="1" applyFill="1"/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0" xfId="0" applyFont="1" applyFill="1" applyAlignment="1">
      <alignment horizontal="right"/>
    </xf>
    <xf numFmtId="164" fontId="10" fillId="2" borderId="0" xfId="0" applyNumberFormat="1" applyFont="1" applyFill="1"/>
    <xf numFmtId="0" fontId="2" fillId="2" borderId="0" xfId="0" applyFont="1" applyFill="1" applyAlignment="1">
      <alignment horizontal="center"/>
    </xf>
    <xf numFmtId="0" fontId="12" fillId="0" borderId="0" xfId="0" applyFont="1"/>
    <xf numFmtId="0" fontId="5" fillId="0" borderId="0" xfId="2"/>
    <xf numFmtId="0" fontId="1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2" fontId="10" fillId="2" borderId="0" xfId="0" applyNumberFormat="1" applyFont="1" applyFill="1"/>
    <xf numFmtId="2" fontId="12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2" fillId="2" borderId="14" xfId="0" applyFont="1" applyFill="1" applyBorder="1" applyAlignment="1">
      <alignment horizontal="center"/>
    </xf>
    <xf numFmtId="1" fontId="0" fillId="3" borderId="5" xfId="0" applyNumberFormat="1" applyFill="1" applyBorder="1" applyAlignment="1" applyProtection="1">
      <alignment horizontal="center"/>
      <protection locked="0"/>
    </xf>
    <xf numFmtId="14" fontId="0" fillId="3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5" xfId="0" applyFill="1" applyBorder="1"/>
    <xf numFmtId="0" fontId="0" fillId="2" borderId="16" xfId="0" applyFill="1" applyBorder="1"/>
    <xf numFmtId="0" fontId="0" fillId="2" borderId="12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ont="1" applyFill="1"/>
    <xf numFmtId="2" fontId="12" fillId="2" borderId="13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2" fontId="10" fillId="3" borderId="5" xfId="0" applyNumberFormat="1" applyFont="1" applyFill="1" applyBorder="1" applyAlignment="1" applyProtection="1">
      <alignment horizontal="center"/>
      <protection locked="0"/>
    </xf>
    <xf numFmtId="0" fontId="5" fillId="2" borderId="0" xfId="2" applyFill="1" applyProtection="1">
      <protection locked="0"/>
    </xf>
    <xf numFmtId="0" fontId="10" fillId="2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3" fillId="6" borderId="19" xfId="0" applyFont="1" applyFill="1" applyBorder="1" applyAlignment="1">
      <alignment horizontal="center"/>
    </xf>
    <xf numFmtId="0" fontId="13" fillId="6" borderId="20" xfId="0" applyFont="1" applyFill="1" applyBorder="1" applyAlignment="1">
      <alignment horizontal="center"/>
    </xf>
    <xf numFmtId="2" fontId="0" fillId="4" borderId="8" xfId="0" applyNumberFormat="1" applyFill="1" applyBorder="1" applyAlignment="1">
      <alignment horizontal="center" vertical="center"/>
    </xf>
    <xf numFmtId="2" fontId="0" fillId="4" borderId="9" xfId="0" applyNumberFormat="1" applyFill="1" applyBorder="1" applyAlignment="1">
      <alignment horizontal="center" vertical="center"/>
    </xf>
    <xf numFmtId="2" fontId="1" fillId="5" borderId="10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2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/>
    <xf numFmtId="0" fontId="1" fillId="2" borderId="0" xfId="0" applyFont="1" applyFill="1" applyAlignment="1">
      <alignment horizontal="center" wrapText="1"/>
    </xf>
  </cellXfs>
  <cellStyles count="3">
    <cellStyle name="Hyperlink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workbookViewId="0">
      <selection activeCell="D42" sqref="D42"/>
    </sheetView>
  </sheetViews>
  <sheetFormatPr defaultColWidth="9.109375" defaultRowHeight="14.4" x14ac:dyDescent="0.3"/>
  <cols>
    <col min="1" max="1" width="9.109375" style="11"/>
    <col min="2" max="2" width="79.5546875" style="11" bestFit="1" customWidth="1"/>
    <col min="3" max="3" width="15.6640625" style="28" customWidth="1"/>
    <col min="4" max="4" width="27.44140625" style="11" bestFit="1" customWidth="1"/>
    <col min="5" max="16384" width="9.109375" style="11"/>
  </cols>
  <sheetData>
    <row r="1" spans="1:12" s="2" customFormat="1" ht="33.6" x14ac:dyDescent="0.65">
      <c r="A1" s="57" t="s">
        <v>82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3" spans="1:12" ht="15" thickBot="1" x14ac:dyDescent="0.35">
      <c r="B3" s="26" t="s">
        <v>40</v>
      </c>
    </row>
    <row r="4" spans="1:12" ht="15" thickBot="1" x14ac:dyDescent="0.35">
      <c r="B4" s="15" t="s">
        <v>41</v>
      </c>
      <c r="C4" s="49"/>
      <c r="D4" s="61" t="s">
        <v>78</v>
      </c>
      <c r="E4" s="62"/>
      <c r="F4" s="62"/>
      <c r="G4" s="62"/>
      <c r="H4" s="62"/>
      <c r="I4" s="62"/>
      <c r="J4" s="62"/>
      <c r="K4" s="63"/>
    </row>
    <row r="5" spans="1:12" x14ac:dyDescent="0.3">
      <c r="C5" s="90" t="s">
        <v>75</v>
      </c>
      <c r="D5" s="64"/>
      <c r="E5" s="65"/>
      <c r="F5" s="65"/>
      <c r="G5" s="65"/>
      <c r="H5" s="65"/>
      <c r="I5" s="65"/>
      <c r="J5" s="65"/>
      <c r="K5" s="66"/>
    </row>
    <row r="6" spans="1:12" ht="15" thickBot="1" x14ac:dyDescent="0.35">
      <c r="B6" s="15" t="s">
        <v>76</v>
      </c>
      <c r="C6" s="91"/>
      <c r="D6" s="51"/>
      <c r="E6" s="52"/>
      <c r="F6" s="52"/>
      <c r="G6" s="52"/>
      <c r="H6" s="52"/>
      <c r="I6" s="52"/>
      <c r="J6" s="52"/>
      <c r="K6" s="53"/>
    </row>
    <row r="7" spans="1:12" ht="15" thickBot="1" x14ac:dyDescent="0.35">
      <c r="B7" s="15" t="s">
        <v>61</v>
      </c>
      <c r="C7" s="38"/>
      <c r="D7" s="58" t="s">
        <v>63</v>
      </c>
      <c r="E7" s="59"/>
      <c r="F7" s="59"/>
      <c r="G7" s="59"/>
      <c r="H7" s="59"/>
      <c r="I7" s="59"/>
      <c r="J7" s="59"/>
      <c r="K7" s="60"/>
    </row>
    <row r="8" spans="1:12" s="2" customFormat="1" x14ac:dyDescent="0.3">
      <c r="C8" s="29"/>
    </row>
    <row r="9" spans="1:12" s="2" customFormat="1" ht="15" thickBot="1" x14ac:dyDescent="0.35">
      <c r="B9" s="3" t="s">
        <v>42</v>
      </c>
      <c r="C9" s="29"/>
      <c r="D9" s="40" t="s">
        <v>77</v>
      </c>
      <c r="E9" s="41"/>
      <c r="F9" s="41"/>
      <c r="G9" s="41"/>
      <c r="H9" s="41"/>
      <c r="I9" s="41"/>
      <c r="J9" s="41"/>
      <c r="K9" s="42"/>
    </row>
    <row r="10" spans="1:12" s="2" customFormat="1" ht="15" thickBot="1" x14ac:dyDescent="0.35">
      <c r="B10" s="3" t="s">
        <v>43</v>
      </c>
      <c r="C10" s="39">
        <v>44927</v>
      </c>
      <c r="D10" s="43" t="s">
        <v>68</v>
      </c>
      <c r="E10" s="44"/>
      <c r="F10" s="44"/>
      <c r="G10" s="44"/>
      <c r="H10" s="44"/>
      <c r="I10" s="44"/>
      <c r="J10" s="44"/>
      <c r="K10" s="45"/>
    </row>
    <row r="11" spans="1:12" s="2" customFormat="1" x14ac:dyDescent="0.3">
      <c r="C11" s="29"/>
    </row>
    <row r="12" spans="1:12" s="2" customFormat="1" ht="15" thickBot="1" x14ac:dyDescent="0.35">
      <c r="B12" s="1" t="s">
        <v>44</v>
      </c>
      <c r="C12" s="29"/>
      <c r="D12" s="40" t="s">
        <v>79</v>
      </c>
      <c r="E12" s="41"/>
      <c r="F12" s="41"/>
      <c r="G12" s="41"/>
      <c r="H12" s="41"/>
      <c r="I12" s="41"/>
      <c r="J12" s="41"/>
      <c r="K12" s="42"/>
    </row>
    <row r="13" spans="1:12" s="2" customFormat="1" ht="15" thickBot="1" x14ac:dyDescent="0.35">
      <c r="B13" s="3" t="s">
        <v>45</v>
      </c>
      <c r="C13" s="39">
        <v>45291</v>
      </c>
      <c r="D13" s="43" t="s">
        <v>69</v>
      </c>
      <c r="E13" s="44"/>
      <c r="F13" s="44"/>
      <c r="G13" s="44"/>
      <c r="H13" s="44"/>
      <c r="I13" s="44"/>
      <c r="J13" s="44"/>
      <c r="K13" s="45"/>
    </row>
    <row r="14" spans="1:12" s="2" customFormat="1" x14ac:dyDescent="0.3">
      <c r="C14" s="29"/>
    </row>
    <row r="15" spans="1:12" s="2" customFormat="1" ht="15" thickBot="1" x14ac:dyDescent="0.35">
      <c r="B15" s="1" t="s">
        <v>80</v>
      </c>
      <c r="C15" s="29"/>
    </row>
    <row r="16" spans="1:12" s="2" customFormat="1" ht="15" thickBot="1" x14ac:dyDescent="0.35">
      <c r="B16" s="3" t="s">
        <v>46</v>
      </c>
      <c r="C16" s="30">
        <v>0</v>
      </c>
    </row>
    <row r="17" spans="2:9" s="2" customFormat="1" ht="15" thickBot="1" x14ac:dyDescent="0.35"/>
    <row r="18" spans="2:9" s="2" customFormat="1" ht="15" thickBot="1" x14ac:dyDescent="0.35">
      <c r="B18" s="54" t="s">
        <v>73</v>
      </c>
      <c r="C18" s="55"/>
      <c r="D18" s="55"/>
      <c r="E18" s="55"/>
      <c r="F18" s="55"/>
      <c r="G18" s="56"/>
    </row>
    <row r="19" spans="2:9" s="2" customFormat="1" ht="15" thickBot="1" x14ac:dyDescent="0.35">
      <c r="B19" s="54" t="s">
        <v>74</v>
      </c>
      <c r="C19" s="55"/>
      <c r="D19" s="55"/>
      <c r="E19" s="55"/>
      <c r="F19" s="55"/>
      <c r="G19" s="56"/>
    </row>
    <row r="20" spans="2:9" s="2" customFormat="1" x14ac:dyDescent="0.3">
      <c r="B20" s="7"/>
    </row>
    <row r="21" spans="2:9" s="2" customFormat="1" x14ac:dyDescent="0.3">
      <c r="B21" s="3" t="s">
        <v>81</v>
      </c>
    </row>
    <row r="22" spans="2:9" s="2" customFormat="1" ht="15" thickBot="1" x14ac:dyDescent="0.35">
      <c r="B22" s="3" t="s">
        <v>47</v>
      </c>
      <c r="D22" s="11"/>
      <c r="E22" s="12"/>
      <c r="F22" s="12"/>
      <c r="G22" s="12"/>
      <c r="H22" s="12"/>
    </row>
    <row r="23" spans="2:9" s="2" customFormat="1" ht="15" thickBot="1" x14ac:dyDescent="0.35">
      <c r="B23" s="5" t="str">
        <f>IF(E23=TRUE,(CONCATENATE(G23," ",TEXT(F23,"dd/mm/yyyy"))),"Nid yw ŵyl y Banc yn ystod  cyfnod cyflogaeth / Bank Holiday not in employment range")</f>
        <v>Dydd Llun / Monday 02/01/2023</v>
      </c>
      <c r="C23" s="10">
        <v>0</v>
      </c>
      <c r="D23" s="11" t="s">
        <v>70</v>
      </c>
      <c r="E23" s="8" t="b">
        <f>IF(F23&lt;=Calculations!$C$11,F23&gt;=Calculations!$C$8)</f>
        <v>1</v>
      </c>
      <c r="F23" s="9">
        <f>Calculations!G20</f>
        <v>44928</v>
      </c>
      <c r="G23" s="4" t="str">
        <f>Calculations!K20</f>
        <v>Dydd Llun / Monday</v>
      </c>
      <c r="H23" s="8"/>
      <c r="I23" s="4"/>
    </row>
    <row r="24" spans="2:9" s="2" customFormat="1" ht="15" thickBot="1" x14ac:dyDescent="0.35">
      <c r="B24" s="5" t="str">
        <f t="shared" ref="B24:B35" si="0">IF(E24=TRUE,(CONCATENATE(G24," ",TEXT(F24,"dd/mm/yyyy"))),"Nid yw ŵyl y Banc yn ystod  cyfnod cyflogaeth / Bank Holiday not in employment range")</f>
        <v>Dydd Gwener / Friday 07/04/2023</v>
      </c>
      <c r="C24" s="10">
        <v>0</v>
      </c>
      <c r="D24" s="11" t="s">
        <v>70</v>
      </c>
      <c r="E24" s="8" t="b">
        <f>IF(F24&lt;=Calculations!$C$11,F24&gt;=Calculations!$C$8)</f>
        <v>1</v>
      </c>
      <c r="F24" s="9">
        <f>Calculations!G21</f>
        <v>45023</v>
      </c>
      <c r="G24" s="4" t="str">
        <f>Calculations!K21</f>
        <v>Dydd Gwener / Friday</v>
      </c>
      <c r="H24" s="8"/>
      <c r="I24" s="4"/>
    </row>
    <row r="25" spans="2:9" s="2" customFormat="1" ht="15" thickBot="1" x14ac:dyDescent="0.35">
      <c r="B25" s="5" t="str">
        <f t="shared" si="0"/>
        <v>Dydd Llun / Monday 10/04/2023</v>
      </c>
      <c r="C25" s="10">
        <v>0</v>
      </c>
      <c r="D25" s="11" t="s">
        <v>70</v>
      </c>
      <c r="E25" s="8" t="b">
        <f>IF(F25&lt;=Calculations!$C$11,F25&gt;=Calculations!$C$8)</f>
        <v>1</v>
      </c>
      <c r="F25" s="9">
        <f>Calculations!G22</f>
        <v>45026</v>
      </c>
      <c r="G25" s="4" t="str">
        <f>Calculations!K22</f>
        <v>Dydd Llun / Monday</v>
      </c>
      <c r="H25" s="8"/>
      <c r="I25" s="4"/>
    </row>
    <row r="26" spans="2:9" s="2" customFormat="1" ht="15" thickBot="1" x14ac:dyDescent="0.35">
      <c r="B26" s="5" t="str">
        <f t="shared" si="0"/>
        <v>Dydd Mawrth / Tuesday 11/04/2023</v>
      </c>
      <c r="C26" s="10">
        <v>0</v>
      </c>
      <c r="D26" s="11" t="s">
        <v>70</v>
      </c>
      <c r="E26" s="8" t="b">
        <f>IF(F26&lt;=Calculations!$C$11,F26&gt;=Calculations!$C$8)</f>
        <v>1</v>
      </c>
      <c r="F26" s="9">
        <f>Calculations!G23</f>
        <v>45027</v>
      </c>
      <c r="G26" s="4" t="str">
        <f>Calculations!K23</f>
        <v>Dydd Mawrth / Tuesday</v>
      </c>
      <c r="H26" s="8"/>
      <c r="I26" s="4"/>
    </row>
    <row r="27" spans="2:9" s="2" customFormat="1" ht="15" thickBot="1" x14ac:dyDescent="0.35">
      <c r="B27" s="5" t="str">
        <f t="shared" si="0"/>
        <v>Dydd Llun / Monday 01/05/2023</v>
      </c>
      <c r="C27" s="10">
        <v>0</v>
      </c>
      <c r="D27" s="11" t="s">
        <v>70</v>
      </c>
      <c r="E27" s="8" t="b">
        <f>IF(F27&lt;=Calculations!$C$11,F27&gt;=Calculations!$C$8)</f>
        <v>1</v>
      </c>
      <c r="F27" s="9">
        <f>Calculations!G24</f>
        <v>45047</v>
      </c>
      <c r="G27" s="4" t="str">
        <f>Calculations!K24</f>
        <v>Dydd Llun / Monday</v>
      </c>
      <c r="H27" s="8"/>
      <c r="I27" s="4"/>
    </row>
    <row r="28" spans="2:9" s="2" customFormat="1" ht="15" thickBot="1" x14ac:dyDescent="0.35">
      <c r="B28" s="5" t="str">
        <f t="shared" si="0"/>
        <v>Dydd Llun / Monday 08/05/2023</v>
      </c>
      <c r="C28" s="10">
        <v>0</v>
      </c>
      <c r="D28" s="11" t="s">
        <v>70</v>
      </c>
      <c r="E28" s="8" t="b">
        <f>IF(F28&lt;=Calculations!$C$11,F28&gt;=Calculations!$C$8)</f>
        <v>1</v>
      </c>
      <c r="F28" s="9">
        <f>Calculations!G25</f>
        <v>45054</v>
      </c>
      <c r="G28" s="4" t="str">
        <f>Calculations!K25</f>
        <v>Dydd Llun / Monday</v>
      </c>
      <c r="H28" s="8"/>
      <c r="I28" s="4"/>
    </row>
    <row r="29" spans="2:9" s="2" customFormat="1" ht="15" thickBot="1" x14ac:dyDescent="0.35">
      <c r="B29" s="5" t="str">
        <f t="shared" si="0"/>
        <v>Dydd Llun / Monday 29/05/2023</v>
      </c>
      <c r="C29" s="10">
        <v>0</v>
      </c>
      <c r="D29" s="11" t="s">
        <v>70</v>
      </c>
      <c r="E29" s="8" t="b">
        <f>IF(F29&lt;=Calculations!$C$11,F29&gt;=Calculations!$C$8)</f>
        <v>1</v>
      </c>
      <c r="F29" s="9">
        <f>Calculations!G26</f>
        <v>45075</v>
      </c>
      <c r="G29" s="4" t="str">
        <f>Calculations!K26</f>
        <v>Dydd Llun / Monday</v>
      </c>
      <c r="H29" s="8"/>
      <c r="I29" s="4"/>
    </row>
    <row r="30" spans="2:9" s="2" customFormat="1" ht="15" thickBot="1" x14ac:dyDescent="0.35">
      <c r="B30" s="5" t="str">
        <f t="shared" si="0"/>
        <v>Dydd Llun / Monday 28/08/2023</v>
      </c>
      <c r="C30" s="10">
        <v>0</v>
      </c>
      <c r="D30" s="11" t="s">
        <v>70</v>
      </c>
      <c r="E30" s="8" t="b">
        <f>IF(F30&lt;=Calculations!$C$11,F30&gt;=Calculations!$C$8)</f>
        <v>1</v>
      </c>
      <c r="F30" s="9">
        <f>Calculations!G27</f>
        <v>45166</v>
      </c>
      <c r="G30" s="4" t="str">
        <f>Calculations!K27</f>
        <v>Dydd Llun / Monday</v>
      </c>
      <c r="H30" s="8"/>
      <c r="I30" s="4"/>
    </row>
    <row r="31" spans="2:9" s="2" customFormat="1" ht="15" thickBot="1" x14ac:dyDescent="0.35">
      <c r="B31" s="5" t="str">
        <f t="shared" si="0"/>
        <v>Dydd Llun / Monday 25/12/2023</v>
      </c>
      <c r="C31" s="10">
        <v>0</v>
      </c>
      <c r="D31" s="11" t="s">
        <v>70</v>
      </c>
      <c r="E31" s="8" t="b">
        <f>IF(F31&lt;=Calculations!$C$11,F31&gt;=Calculations!$C$8)</f>
        <v>1</v>
      </c>
      <c r="F31" s="9">
        <f>Calculations!G28</f>
        <v>45285</v>
      </c>
      <c r="G31" s="4" t="str">
        <f>Calculations!K28</f>
        <v>Dydd Llun / Monday</v>
      </c>
      <c r="H31" s="8"/>
      <c r="I31" s="4"/>
    </row>
    <row r="32" spans="2:9" s="2" customFormat="1" ht="15" thickBot="1" x14ac:dyDescent="0.35">
      <c r="B32" s="5" t="str">
        <f t="shared" si="0"/>
        <v>Dydd Mawrth / Tuesday 26/12/2023</v>
      </c>
      <c r="C32" s="10">
        <v>0</v>
      </c>
      <c r="D32" s="11" t="s">
        <v>70</v>
      </c>
      <c r="E32" s="8" t="b">
        <f>IF(F32&lt;=Calculations!$C$11,F32&gt;=Calculations!$C$8)</f>
        <v>1</v>
      </c>
      <c r="F32" s="9">
        <f>Calculations!G29</f>
        <v>45286</v>
      </c>
      <c r="G32" s="4" t="str">
        <f>Calculations!K29</f>
        <v>Dydd Mawrth / Tuesday</v>
      </c>
      <c r="H32" s="8"/>
      <c r="I32" s="4"/>
    </row>
    <row r="33" spans="2:9" s="2" customFormat="1" ht="15" thickBot="1" x14ac:dyDescent="0.35">
      <c r="B33" s="5" t="str">
        <f t="shared" si="0"/>
        <v>Dydd Mercher / Wednesday 27/12/2023</v>
      </c>
      <c r="C33" s="10">
        <v>0</v>
      </c>
      <c r="D33" s="11" t="s">
        <v>70</v>
      </c>
      <c r="E33" s="8" t="b">
        <f>IF(F33&lt;=Calculations!$C$11,F33&gt;=Calculations!$C$8)</f>
        <v>1</v>
      </c>
      <c r="F33" s="9">
        <f>Calculations!G30</f>
        <v>45287</v>
      </c>
      <c r="G33" s="4" t="str">
        <f>Calculations!K30</f>
        <v>Dydd Mercher / Wednesday</v>
      </c>
      <c r="H33" s="8"/>
      <c r="I33" s="4"/>
    </row>
    <row r="34" spans="2:9" s="2" customFormat="1" ht="15" thickBot="1" x14ac:dyDescent="0.35">
      <c r="B34" s="5" t="str">
        <f t="shared" si="0"/>
        <v>Dydd Iau  / Thursday 28/12/2023</v>
      </c>
      <c r="C34" s="10">
        <v>0</v>
      </c>
      <c r="D34" s="11" t="s">
        <v>70</v>
      </c>
      <c r="E34" s="8" t="b">
        <f>IF(F34&lt;=Calculations!$C$11,F34&gt;=Calculations!$C$8)</f>
        <v>1</v>
      </c>
      <c r="F34" s="9">
        <f>Calculations!G31</f>
        <v>45288</v>
      </c>
      <c r="G34" s="4" t="str">
        <f>Calculations!K31</f>
        <v>Dydd Iau  / Thursday</v>
      </c>
      <c r="H34" s="8"/>
      <c r="I34" s="4"/>
    </row>
    <row r="35" spans="2:9" s="2" customFormat="1" ht="15" thickBot="1" x14ac:dyDescent="0.35">
      <c r="B35" s="5" t="str">
        <f t="shared" si="0"/>
        <v>Dydd Gwener / Friday 29/12/2023</v>
      </c>
      <c r="C35" s="10">
        <v>0</v>
      </c>
      <c r="D35" s="11" t="s">
        <v>70</v>
      </c>
      <c r="E35" s="8" t="b">
        <f>IF(F35&lt;=Calculations!$C$11,F35&gt;=Calculations!$C$8)</f>
        <v>1</v>
      </c>
      <c r="F35" s="9">
        <f>Calculations!G32</f>
        <v>45289</v>
      </c>
      <c r="G35" s="4" t="str">
        <f>Calculations!K32</f>
        <v>Dydd Gwener / Friday</v>
      </c>
      <c r="H35" s="8"/>
      <c r="I35" s="4"/>
    </row>
    <row r="36" spans="2:9" s="2" customFormat="1" x14ac:dyDescent="0.3">
      <c r="C36" s="6"/>
      <c r="D36" s="11"/>
      <c r="E36" s="4"/>
      <c r="F36" s="4"/>
      <c r="G36" s="4"/>
      <c r="H36" s="4"/>
      <c r="I36" s="4"/>
    </row>
    <row r="37" spans="2:9" s="2" customFormat="1" x14ac:dyDescent="0.3">
      <c r="B37" s="27"/>
      <c r="C37" s="50" t="s">
        <v>60</v>
      </c>
      <c r="D37" s="11"/>
      <c r="E37" s="4"/>
      <c r="F37" s="4"/>
      <c r="G37" s="4"/>
      <c r="H37" s="4"/>
      <c r="I37" s="4"/>
    </row>
  </sheetData>
  <sheetProtection insertHyperlinks="0" selectLockedCells="1" autoFilter="0" pivotTables="0"/>
  <protectedRanges>
    <protectedRange algorithmName="SHA-512" hashValue="wzauyd8Z33nyhzl6fIieI2zOm89tLUpstoUqO0Uut49yPbUVHNFUya6Dv7UwU/C3xN1mDN6XQzmM8QU0uuVv3g==" saltValue="XICV4xcrtzWsHKITKhtDDA==" spinCount="100000" sqref="C4" name="Range1"/>
    <protectedRange algorithmName="SHA-512" hashValue="rSYVz3Lp7h2y/mSFIvBy4PDV3SVHi3i4MVApfx5dhY+nweHuNYjIyk93k3Hi+wHLMoNz6z1dAj30He3fjBg+AQ==" saltValue="SkbdB2Et0oNnc3P4B2pD6Q==" spinCount="100000" sqref="D9:D10 C8:C9 A8:B10 F8:N10 D8:E8" name="Cam21"/>
    <protectedRange algorithmName="SHA-512" hashValue="Mzb4CinVfzvMIkTbdp4MTvMHZX/wkwnFnYZRt45Y+xUOCAq39hoMQwthJHLUdKKnMJLQcheLD1fdueixYPrzDw==" saltValue="UXu/1BTNyTmQJddgx6ZfjA==" spinCount="100000" sqref="A11:B13 D11:D13 C11:C12 F11:AG13" name="Cam31"/>
    <protectedRange algorithmName="SHA-512" hashValue="X1cQEnNZLcZuVs9iwSQvQTPFMybwfii96DSWc/E7UWFFmvR9x0cYbgMBs/durP0PNJPpg8ePUFmpBsjw77a4/A==" saltValue="Z2GHkFMX+LEbpBVZVE5qyw==" spinCount="100000" sqref="D14:AI16 C14:C15 A14:B16" name="Cam41"/>
    <protectedRange algorithmName="SHA-512" hashValue="5rtnmvroBCcF0g1ept/4y1f+6oXhhTo1IXDCQIwBD/vWbN6HP0oEf13vcrRkPcbb+QEE6Te5QrKglP6VNHKL3g==" saltValue="K4qdJZNKz0AZckuuB5i4rw==" spinCount="100000" sqref="A36:XFD37 A17:XFD22 A23:B35 D23:Z35" name="Cam51"/>
  </protectedRanges>
  <mergeCells count="6">
    <mergeCell ref="B18:G18"/>
    <mergeCell ref="B19:G19"/>
    <mergeCell ref="A1:L1"/>
    <mergeCell ref="D7:K7"/>
    <mergeCell ref="D4:K5"/>
    <mergeCell ref="C5:C6"/>
  </mergeCells>
  <hyperlinks>
    <hyperlink ref="C37" location="'Gwerth - Final'!A1" display="Nesaf / Next" xr:uid="{00000000-0004-0000-0000-000000000000}"/>
  </hyperlink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2"/>
  <sheetViews>
    <sheetView topLeftCell="B1" workbookViewId="0">
      <selection activeCell="N16" sqref="N16"/>
    </sheetView>
  </sheetViews>
  <sheetFormatPr defaultColWidth="9.109375" defaultRowHeight="14.4" x14ac:dyDescent="0.3"/>
  <cols>
    <col min="1" max="1" width="3.44140625" style="2" customWidth="1"/>
    <col min="2" max="2" width="42.44140625" style="2" bestFit="1" customWidth="1"/>
    <col min="3" max="3" width="23.5546875" style="2" customWidth="1"/>
    <col min="4" max="4" width="2.88671875" style="2" customWidth="1"/>
    <col min="5" max="5" width="7.88671875" style="2" customWidth="1"/>
    <col min="6" max="6" width="2.44140625" style="2" customWidth="1"/>
    <col min="7" max="7" width="24.88671875" style="2" bestFit="1" customWidth="1"/>
    <col min="8" max="8" width="9.109375" style="2"/>
    <col min="9" max="9" width="11.88671875" style="2" customWidth="1"/>
    <col min="10" max="18" width="8" style="2" customWidth="1"/>
    <col min="19" max="19" width="14.33203125" style="2" customWidth="1"/>
    <col min="20" max="16384" width="9.109375" style="2"/>
  </cols>
  <sheetData>
    <row r="1" spans="1:19" ht="33.6" x14ac:dyDescent="0.65">
      <c r="A1" s="57" t="s">
        <v>83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19" s="35" customFormat="1" ht="47.4" x14ac:dyDescent="0.65">
      <c r="C2" s="96" t="s">
        <v>85</v>
      </c>
      <c r="F2" s="2"/>
      <c r="G2" s="96" t="s">
        <v>86</v>
      </c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5" customHeight="1" x14ac:dyDescent="0.3"/>
    <row r="4" spans="1:19" ht="15" customHeight="1" x14ac:dyDescent="0.3">
      <c r="B4" s="2" t="s">
        <v>48</v>
      </c>
      <c r="C4" s="85">
        <f>Calculations!C41</f>
        <v>0</v>
      </c>
      <c r="G4" s="85">
        <f>Calculations!F41</f>
        <v>0</v>
      </c>
      <c r="I4" s="67" t="s">
        <v>65</v>
      </c>
      <c r="J4" s="68"/>
      <c r="K4" s="68"/>
      <c r="L4" s="68"/>
      <c r="M4" s="68"/>
      <c r="N4" s="68"/>
      <c r="O4" s="68"/>
      <c r="P4" s="68"/>
      <c r="Q4" s="68"/>
      <c r="R4" s="68"/>
      <c r="S4" s="69"/>
    </row>
    <row r="5" spans="1:19" x14ac:dyDescent="0.3">
      <c r="B5" s="2" t="s">
        <v>5</v>
      </c>
      <c r="C5" s="86"/>
      <c r="G5" s="86"/>
      <c r="I5" s="70"/>
      <c r="J5" s="71"/>
      <c r="K5" s="71"/>
      <c r="L5" s="71"/>
      <c r="M5" s="71"/>
      <c r="N5" s="71"/>
      <c r="O5" s="71"/>
      <c r="P5" s="71"/>
      <c r="Q5" s="71"/>
      <c r="R5" s="71"/>
      <c r="S5" s="72"/>
    </row>
    <row r="6" spans="1:19" x14ac:dyDescent="0.3">
      <c r="C6" s="13"/>
    </row>
    <row r="7" spans="1:19" ht="15" customHeight="1" x14ac:dyDescent="0.3">
      <c r="B7" s="2" t="s">
        <v>49</v>
      </c>
      <c r="C7" s="85">
        <f ca="1">Calculations!C36</f>
        <v>0</v>
      </c>
      <c r="G7" s="85">
        <f ca="1">Calculations!F36</f>
        <v>0</v>
      </c>
      <c r="I7" s="73" t="s">
        <v>72</v>
      </c>
      <c r="J7" s="74"/>
      <c r="K7" s="74"/>
      <c r="L7" s="74"/>
      <c r="M7" s="74"/>
      <c r="N7" s="74"/>
      <c r="O7" s="74"/>
      <c r="P7" s="74"/>
      <c r="Q7" s="74"/>
      <c r="R7" s="74"/>
      <c r="S7" s="75"/>
    </row>
    <row r="8" spans="1:19" ht="15" customHeight="1" x14ac:dyDescent="0.3">
      <c r="B8" s="2" t="s">
        <v>50</v>
      </c>
      <c r="C8" s="86"/>
      <c r="G8" s="86"/>
      <c r="I8" s="76"/>
      <c r="J8" s="77"/>
      <c r="K8" s="77"/>
      <c r="L8" s="77"/>
      <c r="M8" s="77"/>
      <c r="N8" s="77"/>
      <c r="O8" s="77"/>
      <c r="P8" s="77"/>
      <c r="Q8" s="77"/>
      <c r="R8" s="77"/>
      <c r="S8" s="78"/>
    </row>
    <row r="9" spans="1:19" x14ac:dyDescent="0.3">
      <c r="C9" s="13"/>
      <c r="D9" s="93" t="s">
        <v>84</v>
      </c>
      <c r="E9" s="93"/>
      <c r="F9" s="93"/>
    </row>
    <row r="10" spans="1:19" ht="14.4" customHeight="1" x14ac:dyDescent="0.3">
      <c r="B10" s="2" t="s">
        <v>51</v>
      </c>
      <c r="C10" s="85">
        <f>Calculations!C37</f>
        <v>0</v>
      </c>
      <c r="D10" s="93"/>
      <c r="E10" s="93"/>
      <c r="F10" s="93"/>
      <c r="G10" s="85">
        <f>Calculations!F37</f>
        <v>0</v>
      </c>
      <c r="I10" s="79" t="s">
        <v>66</v>
      </c>
      <c r="J10" s="80"/>
      <c r="K10" s="80"/>
      <c r="L10" s="80"/>
      <c r="M10" s="80"/>
      <c r="N10" s="80"/>
      <c r="O10" s="80"/>
      <c r="P10" s="80"/>
      <c r="Q10" s="80"/>
      <c r="R10" s="80"/>
      <c r="S10" s="81"/>
    </row>
    <row r="11" spans="1:19" ht="14.4" customHeight="1" x14ac:dyDescent="0.3">
      <c r="B11" s="2" t="s">
        <v>52</v>
      </c>
      <c r="C11" s="86"/>
      <c r="D11" s="94"/>
      <c r="E11" s="94"/>
      <c r="F11" s="94"/>
      <c r="G11" s="86"/>
      <c r="I11" s="82" t="s">
        <v>59</v>
      </c>
      <c r="J11" s="83"/>
      <c r="K11" s="83"/>
      <c r="L11" s="83"/>
      <c r="M11" s="83"/>
      <c r="N11" s="83"/>
      <c r="O11" s="83"/>
      <c r="P11" s="83"/>
      <c r="Q11" s="83"/>
      <c r="R11" s="83"/>
      <c r="S11" s="84"/>
    </row>
    <row r="12" spans="1:19" ht="16.5" customHeight="1" x14ac:dyDescent="0.3">
      <c r="C12" s="14"/>
      <c r="D12" s="94"/>
      <c r="E12" s="94"/>
      <c r="F12" s="94"/>
    </row>
    <row r="13" spans="1:19" x14ac:dyDescent="0.3">
      <c r="B13" s="2" t="s">
        <v>53</v>
      </c>
      <c r="C13" s="85">
        <f ca="1">Calculations!C39</f>
        <v>0</v>
      </c>
      <c r="G13" s="85">
        <f ca="1">Calculations!F39</f>
        <v>0</v>
      </c>
      <c r="I13" s="67" t="s">
        <v>67</v>
      </c>
      <c r="J13" s="68"/>
      <c r="K13" s="68"/>
      <c r="L13" s="68"/>
      <c r="M13" s="68"/>
      <c r="N13" s="68"/>
      <c r="O13" s="68"/>
      <c r="P13" s="68"/>
      <c r="Q13" s="68"/>
      <c r="R13" s="68"/>
      <c r="S13" s="69"/>
    </row>
    <row r="14" spans="1:19" x14ac:dyDescent="0.3">
      <c r="B14" s="2" t="s">
        <v>54</v>
      </c>
      <c r="C14" s="86"/>
      <c r="G14" s="86"/>
      <c r="I14" s="70"/>
      <c r="J14" s="71"/>
      <c r="K14" s="71"/>
      <c r="L14" s="71"/>
      <c r="M14" s="71"/>
      <c r="N14" s="71"/>
      <c r="O14" s="71"/>
      <c r="P14" s="71"/>
      <c r="Q14" s="71"/>
      <c r="R14" s="71"/>
      <c r="S14" s="72"/>
    </row>
    <row r="15" spans="1:19" x14ac:dyDescent="0.3">
      <c r="C15" s="13"/>
    </row>
    <row r="16" spans="1:19" x14ac:dyDescent="0.3">
      <c r="B16" s="2" t="s">
        <v>55</v>
      </c>
      <c r="C16" s="85">
        <f>Calculations!C17</f>
        <v>0</v>
      </c>
      <c r="G16" s="85">
        <f>Calculations!C17</f>
        <v>0</v>
      </c>
    </row>
    <row r="17" spans="2:7" x14ac:dyDescent="0.3">
      <c r="B17" s="2" t="s">
        <v>56</v>
      </c>
      <c r="C17" s="86"/>
      <c r="G17" s="86"/>
    </row>
    <row r="18" spans="2:7" ht="15" thickBot="1" x14ac:dyDescent="0.35">
      <c r="C18" s="13"/>
    </row>
    <row r="19" spans="2:7" x14ac:dyDescent="0.3">
      <c r="B19" s="2" t="s">
        <v>58</v>
      </c>
      <c r="C19" s="87">
        <f ca="1">Calculations!C45</f>
        <v>0</v>
      </c>
      <c r="G19" s="87">
        <f ca="1">Calculations!F45</f>
        <v>0</v>
      </c>
    </row>
    <row r="20" spans="2:7" ht="15" thickBot="1" x14ac:dyDescent="0.35">
      <c r="B20" s="2" t="s">
        <v>57</v>
      </c>
      <c r="C20" s="88"/>
      <c r="G20" s="88"/>
    </row>
    <row r="23" spans="2:7" x14ac:dyDescent="0.3">
      <c r="B23" s="95"/>
      <c r="C23" s="95"/>
      <c r="D23" s="95"/>
    </row>
    <row r="24" spans="2:7" x14ac:dyDescent="0.3">
      <c r="B24" s="95"/>
      <c r="C24" s="95"/>
      <c r="D24" s="95"/>
    </row>
    <row r="25" spans="2:7" x14ac:dyDescent="0.3">
      <c r="B25" s="95"/>
      <c r="C25" s="95"/>
      <c r="D25" s="95"/>
    </row>
    <row r="26" spans="2:7" x14ac:dyDescent="0.3">
      <c r="B26" s="95"/>
      <c r="C26" s="95"/>
      <c r="D26" s="95"/>
    </row>
    <row r="27" spans="2:7" x14ac:dyDescent="0.3">
      <c r="B27" s="95"/>
      <c r="C27" s="95"/>
      <c r="D27" s="95"/>
    </row>
    <row r="28" spans="2:7" x14ac:dyDescent="0.3">
      <c r="B28" s="95"/>
      <c r="C28" s="95"/>
      <c r="D28" s="95"/>
    </row>
    <row r="29" spans="2:7" x14ac:dyDescent="0.3">
      <c r="B29" s="95"/>
      <c r="C29" s="95"/>
      <c r="D29" s="95"/>
    </row>
    <row r="30" spans="2:7" x14ac:dyDescent="0.3">
      <c r="B30" s="95"/>
      <c r="C30" s="95"/>
      <c r="D30" s="95"/>
    </row>
    <row r="31" spans="2:7" x14ac:dyDescent="0.3">
      <c r="B31" s="95"/>
      <c r="C31" s="95"/>
      <c r="D31" s="95"/>
    </row>
    <row r="32" spans="2:7" x14ac:dyDescent="0.3">
      <c r="B32" s="95"/>
      <c r="C32" s="95"/>
      <c r="D32" s="95"/>
    </row>
    <row r="33" spans="2:4" x14ac:dyDescent="0.3">
      <c r="B33" s="95"/>
      <c r="C33" s="95"/>
      <c r="D33" s="95"/>
    </row>
    <row r="34" spans="2:4" x14ac:dyDescent="0.3">
      <c r="B34" s="95"/>
      <c r="C34" s="95"/>
      <c r="D34" s="95"/>
    </row>
    <row r="35" spans="2:4" x14ac:dyDescent="0.3">
      <c r="B35" s="95"/>
      <c r="C35" s="95"/>
      <c r="D35" s="95"/>
    </row>
    <row r="36" spans="2:4" x14ac:dyDescent="0.3">
      <c r="B36" s="95"/>
      <c r="C36" s="95"/>
      <c r="D36" s="95"/>
    </row>
    <row r="37" spans="2:4" x14ac:dyDescent="0.3">
      <c r="B37" s="95"/>
      <c r="C37" s="95"/>
      <c r="D37" s="95"/>
    </row>
    <row r="38" spans="2:4" x14ac:dyDescent="0.3">
      <c r="B38" s="95"/>
      <c r="C38" s="95"/>
      <c r="D38" s="95"/>
    </row>
    <row r="39" spans="2:4" x14ac:dyDescent="0.3">
      <c r="B39" s="95"/>
      <c r="C39" s="95"/>
      <c r="D39" s="95"/>
    </row>
    <row r="40" spans="2:4" x14ac:dyDescent="0.3">
      <c r="B40" s="95"/>
      <c r="C40" s="95"/>
      <c r="D40" s="95"/>
    </row>
    <row r="41" spans="2:4" x14ac:dyDescent="0.3">
      <c r="B41" s="95"/>
      <c r="C41" s="95"/>
      <c r="D41" s="95"/>
    </row>
    <row r="42" spans="2:4" x14ac:dyDescent="0.3">
      <c r="B42" s="95"/>
      <c r="C42" s="95"/>
      <c r="D42" s="95"/>
    </row>
  </sheetData>
  <sheetProtection algorithmName="SHA-512" hashValue="lDDUjfLsh/jo+WM3sy6xRVmc9xKOmd+aFrDeXTIU63VA3MczuWzhf8t8Bdr0EDVfZr1LOmSqOC+S7WcqX6P5sQ==" saltValue="zghmglTmu4vMZD3kPBQ9nw==" spinCount="100000" sheet="1" objects="1" scenarios="1" selectLockedCells="1"/>
  <mergeCells count="19">
    <mergeCell ref="I13:S14"/>
    <mergeCell ref="C16:C17"/>
    <mergeCell ref="C19:C20"/>
    <mergeCell ref="G16:G17"/>
    <mergeCell ref="G19:G20"/>
    <mergeCell ref="C13:C14"/>
    <mergeCell ref="G13:G14"/>
    <mergeCell ref="I4:S5"/>
    <mergeCell ref="I7:S8"/>
    <mergeCell ref="I10:S10"/>
    <mergeCell ref="I11:S11"/>
    <mergeCell ref="A1:S1"/>
    <mergeCell ref="G4:G5"/>
    <mergeCell ref="G7:G8"/>
    <mergeCell ref="G10:G11"/>
    <mergeCell ref="C4:C5"/>
    <mergeCell ref="C7:C8"/>
    <mergeCell ref="C10:C11"/>
    <mergeCell ref="D9:F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5"/>
  <sheetViews>
    <sheetView zoomScale="80" zoomScaleNormal="80" workbookViewId="0">
      <selection activeCell="C8" sqref="C8"/>
    </sheetView>
  </sheetViews>
  <sheetFormatPr defaultColWidth="9.109375" defaultRowHeight="14.4" x14ac:dyDescent="0.3"/>
  <cols>
    <col min="1" max="1" width="9.109375" style="11"/>
    <col min="2" max="2" width="92.44140625" style="11" bestFit="1" customWidth="1"/>
    <col min="3" max="3" width="27.88671875" style="11" bestFit="1" customWidth="1"/>
    <col min="4" max="5" width="9.109375" style="11"/>
    <col min="6" max="6" width="15.109375" style="11" bestFit="1" customWidth="1"/>
    <col min="7" max="7" width="11.5546875" style="11" bestFit="1" customWidth="1"/>
    <col min="8" max="8" width="9.109375" style="11"/>
    <col min="9" max="9" width="37" style="11" bestFit="1" customWidth="1"/>
    <col min="10" max="16384" width="9.109375" style="11"/>
  </cols>
  <sheetData>
    <row r="1" spans="1:17" s="2" customFormat="1" ht="33.6" x14ac:dyDescent="0.65">
      <c r="A1" s="57" t="s">
        <v>71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7" ht="33.6" x14ac:dyDescent="0.65">
      <c r="B2" s="89" t="s">
        <v>6</v>
      </c>
      <c r="C2" s="89"/>
      <c r="D2" s="89"/>
      <c r="E2" s="89"/>
      <c r="F2" s="89"/>
      <c r="G2" s="89"/>
      <c r="H2" s="89"/>
      <c r="I2" s="89"/>
      <c r="J2" s="89"/>
      <c r="K2" s="89"/>
    </row>
    <row r="3" spans="1:17" ht="15" thickBot="1" x14ac:dyDescent="0.35"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15" thickBot="1" x14ac:dyDescent="0.35">
      <c r="A4" s="15" t="s">
        <v>7</v>
      </c>
      <c r="B4" s="11" t="s">
        <v>8</v>
      </c>
      <c r="C4" s="16">
        <f>'Individual Arrangements'!C4</f>
        <v>0</v>
      </c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ht="15" thickBot="1" x14ac:dyDescent="0.35">
      <c r="B5" s="11" t="s">
        <v>61</v>
      </c>
      <c r="C5" s="32">
        <f>'Individual Arrangements'!C7</f>
        <v>0</v>
      </c>
      <c r="D5" s="11" t="s">
        <v>62</v>
      </c>
      <c r="E5" s="16">
        <f>C5/36.5/52</f>
        <v>0</v>
      </c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ht="15" thickBot="1" x14ac:dyDescent="0.35">
      <c r="B6" s="11" t="s">
        <v>9</v>
      </c>
      <c r="C6" s="31">
        <f>SUM(C4/36.5)</f>
        <v>0</v>
      </c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5" thickBot="1" x14ac:dyDescent="0.35">
      <c r="H7" s="46"/>
      <c r="I7" s="46"/>
      <c r="J7" s="46"/>
      <c r="K7" s="46"/>
      <c r="L7" s="46"/>
      <c r="M7" s="46"/>
      <c r="Q7" s="46"/>
    </row>
    <row r="8" spans="1:17" ht="15" thickBot="1" x14ac:dyDescent="0.35">
      <c r="A8" s="15" t="s">
        <v>10</v>
      </c>
      <c r="B8" s="11" t="s">
        <v>11</v>
      </c>
      <c r="C8" s="17">
        <f>'Individual Arrangements'!C10</f>
        <v>44927</v>
      </c>
      <c r="E8" s="11">
        <v>2020</v>
      </c>
      <c r="H8" s="46"/>
      <c r="I8" s="46"/>
      <c r="J8" s="46"/>
      <c r="K8" s="46"/>
      <c r="L8" s="46"/>
      <c r="M8" s="46"/>
      <c r="Q8" s="46"/>
    </row>
    <row r="9" spans="1:17" x14ac:dyDescent="0.3">
      <c r="B9" s="11" t="s">
        <v>0</v>
      </c>
      <c r="H9" s="46"/>
      <c r="I9" s="46"/>
      <c r="J9" s="46"/>
      <c r="K9" s="46"/>
      <c r="L9" s="46"/>
      <c r="M9" s="46"/>
      <c r="Q9" s="46"/>
    </row>
    <row r="10" spans="1:17" ht="15" thickBot="1" x14ac:dyDescent="0.35">
      <c r="H10" s="46"/>
      <c r="I10" s="46"/>
      <c r="J10" s="46"/>
      <c r="K10" s="46"/>
      <c r="L10" s="46"/>
      <c r="M10" s="46"/>
      <c r="Q10" s="46"/>
    </row>
    <row r="11" spans="1:17" ht="15" thickBot="1" x14ac:dyDescent="0.35">
      <c r="A11" s="15" t="s">
        <v>12</v>
      </c>
      <c r="B11" s="11" t="s">
        <v>13</v>
      </c>
      <c r="C11" s="17">
        <f>'Individual Arrangements'!C13</f>
        <v>45291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3">
      <c r="B12" s="11" t="s">
        <v>1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ht="15" thickBot="1" x14ac:dyDescent="0.35"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ht="15" thickBot="1" x14ac:dyDescent="0.35">
      <c r="B14" s="11" t="s">
        <v>14</v>
      </c>
      <c r="C14" s="16">
        <f>SUM(C11-C8+1)</f>
        <v>365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ht="15" thickBot="1" x14ac:dyDescent="0.35">
      <c r="B15" s="11" t="s">
        <v>15</v>
      </c>
      <c r="C15" s="31">
        <f>SUM(C14/365)</f>
        <v>1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17" ht="15" thickBot="1" x14ac:dyDescent="0.35"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1:17" ht="15" thickBot="1" x14ac:dyDescent="0.35">
      <c r="A17" s="15" t="s">
        <v>16</v>
      </c>
      <c r="B17" s="11" t="s">
        <v>17</v>
      </c>
      <c r="C17" s="16">
        <f>'Individual Arrangements'!C16</f>
        <v>0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</row>
    <row r="18" spans="1:17" x14ac:dyDescent="0.3"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15" thickBot="1" x14ac:dyDescent="0.35">
      <c r="A19" s="15" t="s">
        <v>18</v>
      </c>
      <c r="B19" s="15" t="s">
        <v>19</v>
      </c>
      <c r="C19" s="15" t="s">
        <v>20</v>
      </c>
      <c r="F19" s="15" t="s">
        <v>21</v>
      </c>
      <c r="G19" s="18" t="s">
        <v>22</v>
      </c>
      <c r="H19" s="15"/>
      <c r="I19" s="15" t="s">
        <v>23</v>
      </c>
      <c r="J19" s="4"/>
    </row>
    <row r="20" spans="1:17" ht="15" thickBot="1" x14ac:dyDescent="0.35">
      <c r="B20" s="19" t="str">
        <f>CONCATENATE(K20," ",TEXT(G20,"DD/MM/YYYY"))</f>
        <v>Dydd Llun / Monday 02/01/2023</v>
      </c>
      <c r="C20" s="20">
        <f>'Individual Arrangements'!C23</f>
        <v>0</v>
      </c>
      <c r="D20" s="4" t="s">
        <v>2</v>
      </c>
      <c r="E20" s="11" t="b">
        <f t="shared" ref="E20:E32" si="0">IF(G20&lt;=$C$11,G20&gt;=$C$8)</f>
        <v>1</v>
      </c>
      <c r="F20" s="20">
        <f>IF(E20=TRUE,7.3*1,0)</f>
        <v>7.3</v>
      </c>
      <c r="G20" s="48">
        <v>44928</v>
      </c>
      <c r="H20" s="11" t="s">
        <v>3</v>
      </c>
      <c r="I20" s="11" t="s">
        <v>24</v>
      </c>
      <c r="J20" s="25">
        <f>WEEKDAY(G20,2)</f>
        <v>1</v>
      </c>
      <c r="K20" s="11" t="str">
        <f>VLOOKUP(J20,daysofweek,2,FALSE)</f>
        <v>Dydd Llun / Monday</v>
      </c>
      <c r="O20" s="46">
        <v>1</v>
      </c>
      <c r="P20" s="46" t="s">
        <v>27</v>
      </c>
      <c r="Q20" s="46"/>
    </row>
    <row r="21" spans="1:17" ht="15" thickBot="1" x14ac:dyDescent="0.35">
      <c r="B21" s="19" t="str">
        <f t="shared" ref="B21:B32" si="1">CONCATENATE(K21," ",TEXT(G21,"DD/MM/YYYY"))</f>
        <v>Dydd Gwener / Friday 07/04/2023</v>
      </c>
      <c r="C21" s="20">
        <f>'Individual Arrangements'!C24</f>
        <v>0</v>
      </c>
      <c r="D21" s="4" t="s">
        <v>2</v>
      </c>
      <c r="E21" s="11" t="b">
        <f t="shared" si="0"/>
        <v>1</v>
      </c>
      <c r="F21" s="21">
        <f t="shared" ref="F21:F32" si="2">IF(E21=TRUE,7.3*1,0)</f>
        <v>7.3</v>
      </c>
      <c r="G21" s="48">
        <v>45023</v>
      </c>
      <c r="H21" s="11" t="s">
        <v>3</v>
      </c>
      <c r="I21" s="11" t="s">
        <v>28</v>
      </c>
      <c r="J21" s="25">
        <f t="shared" ref="J21:J32" si="3">WEEKDAY(G21,2)</f>
        <v>5</v>
      </c>
      <c r="K21" s="11" t="str">
        <f t="shared" ref="K21:K32" si="4">VLOOKUP(J21,daysofweek,2,FALSE)</f>
        <v>Dydd Gwener / Friday</v>
      </c>
      <c r="O21" s="46">
        <v>2</v>
      </c>
      <c r="P21" s="46" t="s">
        <v>29</v>
      </c>
      <c r="Q21" s="46"/>
    </row>
    <row r="22" spans="1:17" ht="15" thickBot="1" x14ac:dyDescent="0.35">
      <c r="B22" s="19" t="str">
        <f t="shared" si="1"/>
        <v>Dydd Llun / Monday 10/04/2023</v>
      </c>
      <c r="C22" s="20">
        <f>'Individual Arrangements'!C25</f>
        <v>0</v>
      </c>
      <c r="D22" s="4" t="s">
        <v>2</v>
      </c>
      <c r="E22" s="11" t="b">
        <f t="shared" si="0"/>
        <v>1</v>
      </c>
      <c r="F22" s="21">
        <f t="shared" si="2"/>
        <v>7.3</v>
      </c>
      <c r="G22" s="48">
        <v>45026</v>
      </c>
      <c r="H22" s="11" t="s">
        <v>3</v>
      </c>
      <c r="I22" s="11" t="s">
        <v>24</v>
      </c>
      <c r="J22" s="25">
        <f t="shared" si="3"/>
        <v>1</v>
      </c>
      <c r="K22" s="11" t="str">
        <f t="shared" si="4"/>
        <v>Dydd Llun / Monday</v>
      </c>
      <c r="O22" s="46">
        <v>3</v>
      </c>
      <c r="P22" s="46" t="s">
        <v>30</v>
      </c>
      <c r="Q22" s="46"/>
    </row>
    <row r="23" spans="1:17" ht="15" thickBot="1" x14ac:dyDescent="0.35">
      <c r="B23" s="19" t="str">
        <f t="shared" si="1"/>
        <v>Dydd Mawrth / Tuesday 11/04/2023</v>
      </c>
      <c r="C23" s="20">
        <f>'Individual Arrangements'!C26</f>
        <v>0</v>
      </c>
      <c r="D23" s="4" t="s">
        <v>2</v>
      </c>
      <c r="E23" s="11" t="b">
        <f t="shared" si="0"/>
        <v>1</v>
      </c>
      <c r="F23" s="21">
        <f t="shared" si="2"/>
        <v>7.3</v>
      </c>
      <c r="G23" s="48">
        <v>45027</v>
      </c>
      <c r="H23" s="11" t="s">
        <v>4</v>
      </c>
      <c r="I23" s="11" t="s">
        <v>28</v>
      </c>
      <c r="J23" s="25">
        <f t="shared" si="3"/>
        <v>2</v>
      </c>
      <c r="K23" s="11" t="str">
        <f t="shared" si="4"/>
        <v>Dydd Mawrth / Tuesday</v>
      </c>
      <c r="O23" s="46">
        <v>4</v>
      </c>
      <c r="P23" s="46" t="s">
        <v>25</v>
      </c>
      <c r="Q23" s="46"/>
    </row>
    <row r="24" spans="1:17" ht="15" thickBot="1" x14ac:dyDescent="0.35">
      <c r="B24" s="19" t="str">
        <f t="shared" si="1"/>
        <v>Dydd Llun / Monday 01/05/2023</v>
      </c>
      <c r="C24" s="20">
        <f>'Individual Arrangements'!C27</f>
        <v>0</v>
      </c>
      <c r="D24" s="4" t="s">
        <v>2</v>
      </c>
      <c r="E24" s="11" t="b">
        <f t="shared" si="0"/>
        <v>1</v>
      </c>
      <c r="F24" s="21">
        <f t="shared" si="2"/>
        <v>7.3</v>
      </c>
      <c r="G24" s="48">
        <v>45047</v>
      </c>
      <c r="H24" s="11" t="s">
        <v>3</v>
      </c>
      <c r="I24" s="11" t="s">
        <v>24</v>
      </c>
      <c r="J24" s="25">
        <f t="shared" si="3"/>
        <v>1</v>
      </c>
      <c r="K24" s="11" t="str">
        <f t="shared" si="4"/>
        <v>Dydd Llun / Monday</v>
      </c>
      <c r="O24" s="46">
        <v>5</v>
      </c>
      <c r="P24" s="46" t="s">
        <v>26</v>
      </c>
      <c r="Q24" s="46"/>
    </row>
    <row r="25" spans="1:17" ht="15" thickBot="1" x14ac:dyDescent="0.35">
      <c r="B25" s="19" t="str">
        <f t="shared" si="1"/>
        <v>Dydd Llun / Monday 08/05/2023</v>
      </c>
      <c r="C25" s="20">
        <f>'Individual Arrangements'!C28</f>
        <v>0</v>
      </c>
      <c r="D25" s="4" t="s">
        <v>2</v>
      </c>
      <c r="E25" s="11" t="b">
        <f t="shared" si="0"/>
        <v>1</v>
      </c>
      <c r="F25" s="21">
        <f t="shared" si="2"/>
        <v>7.3</v>
      </c>
      <c r="G25" s="48">
        <v>45054</v>
      </c>
      <c r="H25" s="11" t="s">
        <v>3</v>
      </c>
      <c r="I25" s="11" t="s">
        <v>24</v>
      </c>
      <c r="J25" s="25">
        <f t="shared" si="3"/>
        <v>1</v>
      </c>
      <c r="K25" s="11" t="str">
        <f t="shared" si="4"/>
        <v>Dydd Llun / Monday</v>
      </c>
    </row>
    <row r="26" spans="1:17" ht="15" thickBot="1" x14ac:dyDescent="0.35">
      <c r="B26" s="19" t="str">
        <f t="shared" si="1"/>
        <v>Dydd Llun / Monday 29/05/2023</v>
      </c>
      <c r="C26" s="20">
        <f>'Individual Arrangements'!C29</f>
        <v>0</v>
      </c>
      <c r="D26" s="4" t="s">
        <v>2</v>
      </c>
      <c r="E26" s="11" t="b">
        <f t="shared" si="0"/>
        <v>1</v>
      </c>
      <c r="F26" s="21">
        <f t="shared" si="2"/>
        <v>7.3</v>
      </c>
      <c r="G26" s="48">
        <v>45075</v>
      </c>
      <c r="H26" s="11" t="s">
        <v>3</v>
      </c>
      <c r="I26" s="11" t="s">
        <v>24</v>
      </c>
      <c r="J26" s="25">
        <f t="shared" si="3"/>
        <v>1</v>
      </c>
      <c r="K26" s="11" t="str">
        <f t="shared" si="4"/>
        <v>Dydd Llun / Monday</v>
      </c>
    </row>
    <row r="27" spans="1:17" ht="15" thickBot="1" x14ac:dyDescent="0.35">
      <c r="B27" s="19" t="str">
        <f t="shared" si="1"/>
        <v>Dydd Llun / Monday 28/08/2023</v>
      </c>
      <c r="C27" s="20">
        <f>'Individual Arrangements'!C30</f>
        <v>0</v>
      </c>
      <c r="D27" s="4" t="s">
        <v>2</v>
      </c>
      <c r="E27" s="11" t="b">
        <f t="shared" si="0"/>
        <v>1</v>
      </c>
      <c r="F27" s="21">
        <f t="shared" si="2"/>
        <v>7.3</v>
      </c>
      <c r="G27" s="48">
        <v>45166</v>
      </c>
      <c r="H27" s="11" t="s">
        <v>3</v>
      </c>
      <c r="I27" s="11" t="s">
        <v>28</v>
      </c>
      <c r="J27" s="25">
        <f t="shared" si="3"/>
        <v>1</v>
      </c>
      <c r="K27" s="11" t="str">
        <f>VLOOKUP(J27,daysofweek,2,FALSE)</f>
        <v>Dydd Llun / Monday</v>
      </c>
    </row>
    <row r="28" spans="1:17" ht="15" thickBot="1" x14ac:dyDescent="0.35">
      <c r="B28" s="19" t="str">
        <f t="shared" si="1"/>
        <v>Dydd Llun / Monday 25/12/2023</v>
      </c>
      <c r="C28" s="20">
        <f>'Individual Arrangements'!C31</f>
        <v>0</v>
      </c>
      <c r="D28" s="4"/>
      <c r="E28" s="11" t="b">
        <f t="shared" si="0"/>
        <v>1</v>
      </c>
      <c r="F28" s="21">
        <f t="shared" si="2"/>
        <v>7.3</v>
      </c>
      <c r="G28" s="48">
        <v>45285</v>
      </c>
      <c r="H28" s="11" t="s">
        <v>3</v>
      </c>
      <c r="I28" s="11" t="s">
        <v>28</v>
      </c>
      <c r="J28" s="25">
        <f t="shared" si="3"/>
        <v>1</v>
      </c>
      <c r="K28" s="11" t="str">
        <f>VLOOKUP(J28,daysofweek,2,FALSE)</f>
        <v>Dydd Llun / Monday</v>
      </c>
    </row>
    <row r="29" spans="1:17" ht="15" thickBot="1" x14ac:dyDescent="0.35">
      <c r="B29" s="19" t="str">
        <f t="shared" si="1"/>
        <v>Dydd Mawrth / Tuesday 26/12/2023</v>
      </c>
      <c r="C29" s="20">
        <f>'Individual Arrangements'!C32</f>
        <v>0</v>
      </c>
      <c r="D29" s="4"/>
      <c r="E29" s="11" t="b">
        <f t="shared" si="0"/>
        <v>1</v>
      </c>
      <c r="F29" s="21">
        <f t="shared" si="2"/>
        <v>7.3</v>
      </c>
      <c r="G29" s="48">
        <v>45286</v>
      </c>
      <c r="H29" s="11" t="s">
        <v>3</v>
      </c>
      <c r="I29" s="11" t="s">
        <v>28</v>
      </c>
      <c r="J29" s="25">
        <f t="shared" si="3"/>
        <v>2</v>
      </c>
      <c r="K29" s="11" t="str">
        <f>VLOOKUP(J29,daysofweek,2,FALSE)</f>
        <v>Dydd Mawrth / Tuesday</v>
      </c>
    </row>
    <row r="30" spans="1:17" ht="15" thickBot="1" x14ac:dyDescent="0.35">
      <c r="B30" s="19" t="str">
        <f t="shared" si="1"/>
        <v>Dydd Mercher / Wednesday 27/12/2023</v>
      </c>
      <c r="C30" s="20">
        <f>'Individual Arrangements'!C33</f>
        <v>0</v>
      </c>
      <c r="D30" s="4" t="s">
        <v>2</v>
      </c>
      <c r="E30" s="11" t="b">
        <f t="shared" si="0"/>
        <v>1</v>
      </c>
      <c r="F30" s="21">
        <f t="shared" si="2"/>
        <v>7.3</v>
      </c>
      <c r="G30" s="48">
        <v>45287</v>
      </c>
      <c r="H30" s="11" t="s">
        <v>4</v>
      </c>
      <c r="I30" s="11" t="s">
        <v>24</v>
      </c>
      <c r="J30" s="25">
        <f t="shared" si="3"/>
        <v>3</v>
      </c>
      <c r="K30" s="11" t="str">
        <f t="shared" si="4"/>
        <v>Dydd Mercher / Wednesday</v>
      </c>
    </row>
    <row r="31" spans="1:17" ht="15" thickBot="1" x14ac:dyDescent="0.35">
      <c r="B31" s="19" t="str">
        <f t="shared" si="1"/>
        <v>Dydd Iau  / Thursday 28/12/2023</v>
      </c>
      <c r="C31" s="20">
        <f>'Individual Arrangements'!C34</f>
        <v>0</v>
      </c>
      <c r="D31" s="4" t="s">
        <v>2</v>
      </c>
      <c r="E31" s="11" t="b">
        <f t="shared" si="0"/>
        <v>1</v>
      </c>
      <c r="F31" s="21">
        <f t="shared" si="2"/>
        <v>7.3</v>
      </c>
      <c r="G31" s="48">
        <v>45288</v>
      </c>
      <c r="H31" s="11" t="s">
        <v>4</v>
      </c>
      <c r="I31" s="11" t="s">
        <v>24</v>
      </c>
      <c r="J31" s="25">
        <f t="shared" si="3"/>
        <v>4</v>
      </c>
      <c r="K31" s="11" t="str">
        <f t="shared" si="4"/>
        <v>Dydd Iau  / Thursday</v>
      </c>
    </row>
    <row r="32" spans="1:17" x14ac:dyDescent="0.3">
      <c r="B32" s="19" t="str">
        <f t="shared" si="1"/>
        <v>Dydd Gwener / Friday 29/12/2023</v>
      </c>
      <c r="C32" s="20">
        <f>'Individual Arrangements'!C35</f>
        <v>0</v>
      </c>
      <c r="D32" s="4" t="s">
        <v>2</v>
      </c>
      <c r="E32" s="11" t="b">
        <f t="shared" si="0"/>
        <v>1</v>
      </c>
      <c r="F32" s="21">
        <f t="shared" si="2"/>
        <v>7.3</v>
      </c>
      <c r="G32" s="48">
        <v>45289</v>
      </c>
      <c r="H32" s="11" t="s">
        <v>4</v>
      </c>
      <c r="I32" s="11" t="s">
        <v>28</v>
      </c>
      <c r="J32" s="25">
        <f t="shared" si="3"/>
        <v>5</v>
      </c>
      <c r="K32" s="11" t="str">
        <f t="shared" si="4"/>
        <v>Dydd Gwener / Friday</v>
      </c>
    </row>
    <row r="33" spans="2:10" ht="15" thickBot="1" x14ac:dyDescent="0.35">
      <c r="B33" s="15" t="s">
        <v>31</v>
      </c>
      <c r="C33" s="37">
        <f>SUM(C20:C32)</f>
        <v>0</v>
      </c>
      <c r="D33" s="23" t="s">
        <v>32</v>
      </c>
      <c r="F33" s="22">
        <f ca="1">SUMIF(E20:F32,"=TRUE",F20:F32)</f>
        <v>94.899999999999977</v>
      </c>
      <c r="J33" s="4"/>
    </row>
    <row r="34" spans="2:10" x14ac:dyDescent="0.3">
      <c r="B34" s="11" t="s">
        <v>64</v>
      </c>
      <c r="C34" s="47">
        <f ca="1">(F33*C6)</f>
        <v>0</v>
      </c>
    </row>
    <row r="35" spans="2:10" ht="15" thickBot="1" x14ac:dyDescent="0.35">
      <c r="B35" s="15" t="s">
        <v>33</v>
      </c>
      <c r="C35" s="33"/>
    </row>
    <row r="36" spans="2:10" ht="15" thickBot="1" x14ac:dyDescent="0.35">
      <c r="B36" s="11" t="s">
        <v>34</v>
      </c>
      <c r="C36" s="31">
        <f ca="1">C34</f>
        <v>0</v>
      </c>
      <c r="F36" s="31">
        <f ca="1">F33*E5</f>
        <v>0</v>
      </c>
    </row>
    <row r="37" spans="2:10" ht="15" thickBot="1" x14ac:dyDescent="0.35">
      <c r="B37" s="11" t="s">
        <v>35</v>
      </c>
      <c r="C37" s="31">
        <f>C33</f>
        <v>0</v>
      </c>
      <c r="F37" s="31">
        <f>C33</f>
        <v>0</v>
      </c>
    </row>
    <row r="38" spans="2:10" ht="15" thickBot="1" x14ac:dyDescent="0.35">
      <c r="C38" s="33"/>
      <c r="F38" s="33"/>
    </row>
    <row r="39" spans="2:10" ht="15" thickBot="1" x14ac:dyDescent="0.35">
      <c r="B39" s="11" t="s">
        <v>36</v>
      </c>
      <c r="C39" s="34">
        <f ca="1">C36-C37</f>
        <v>0</v>
      </c>
      <c r="F39" s="34">
        <f ca="1">F36-F37</f>
        <v>0</v>
      </c>
    </row>
    <row r="40" spans="2:10" ht="15" thickBot="1" x14ac:dyDescent="0.35">
      <c r="C40" s="33"/>
      <c r="F40" s="33"/>
      <c r="G40" s="24"/>
    </row>
    <row r="41" spans="2:10" ht="15" thickBot="1" x14ac:dyDescent="0.35">
      <c r="B41" s="11" t="s">
        <v>37</v>
      </c>
      <c r="C41" s="34">
        <f>SUM(197.1*C6)*C15</f>
        <v>0</v>
      </c>
      <c r="F41" s="34">
        <f>SUM(197.1*E5)*C15</f>
        <v>0</v>
      </c>
    </row>
    <row r="42" spans="2:10" ht="15" thickBot="1" x14ac:dyDescent="0.35">
      <c r="C42" s="33"/>
      <c r="F42" s="33"/>
    </row>
    <row r="43" spans="2:10" ht="15" thickBot="1" x14ac:dyDescent="0.35">
      <c r="B43" s="11" t="s">
        <v>38</v>
      </c>
      <c r="C43" s="34">
        <f ca="1">SUM(C41+C39)</f>
        <v>0</v>
      </c>
      <c r="F43" s="34">
        <f ca="1">SUM(F41+F39)</f>
        <v>0</v>
      </c>
    </row>
    <row r="44" spans="2:10" ht="15" thickBot="1" x14ac:dyDescent="0.35">
      <c r="C44" s="33"/>
      <c r="F44" s="33"/>
    </row>
    <row r="45" spans="2:10" ht="15" thickBot="1" x14ac:dyDescent="0.35">
      <c r="B45" s="15" t="s">
        <v>39</v>
      </c>
      <c r="C45" s="34">
        <f ca="1">SUM(C43+C17)</f>
        <v>0</v>
      </c>
      <c r="F45" s="34">
        <f ca="1">SUM(F43+F17)</f>
        <v>0</v>
      </c>
    </row>
  </sheetData>
  <sheetProtection algorithmName="SHA-512" hashValue="GKB3X4KgedIvv/24JgJvX6ljNHD4SfBvwwEXXZX9KxRzjNIRBjQyQZRRItAa8Dk9kLb1BkmJPAhy7PFPqQjYOw==" saltValue="wZUpL7agOiLvg8Q0lAw+ZQ==" spinCount="100000" sheet="1" selectLockedCells="1"/>
  <mergeCells count="2">
    <mergeCell ref="B2:K2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Individual Arrangements</vt:lpstr>
      <vt:lpstr>Gwerth - Final</vt:lpstr>
      <vt:lpstr>Calculations</vt:lpstr>
      <vt:lpstr>daysofweek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Sioned Wyn</dc:creator>
  <cp:lastModifiedBy>Fran Disbury [mfd] (Staff)</cp:lastModifiedBy>
  <dcterms:created xsi:type="dcterms:W3CDTF">2016-02-12T16:12:41Z</dcterms:created>
  <dcterms:modified xsi:type="dcterms:W3CDTF">2023-01-11T12:31:46Z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2dfecbd-fc97-4e8a-a9cd-19ed496c406e_Enabled">
    <vt:lpwstr>true</vt:lpwstr>
  </property>
  <property fmtid="{D5CDD505-2E9C-101B-9397-08002B2CF9AE}" pid="3" name="MSIP_Label_f2dfecbd-fc97-4e8a-a9cd-19ed496c406e_SetDate">
    <vt:lpwstr>2023-01-11T10:28:47Z</vt:lpwstr>
  </property>
  <property fmtid="{D5CDD505-2E9C-101B-9397-08002B2CF9AE}" pid="4" name="MSIP_Label_f2dfecbd-fc97-4e8a-a9cd-19ed496c406e_Method">
    <vt:lpwstr>Standard</vt:lpwstr>
  </property>
  <property fmtid="{D5CDD505-2E9C-101B-9397-08002B2CF9AE}" pid="5" name="MSIP_Label_f2dfecbd-fc97-4e8a-a9cd-19ed496c406e_Name">
    <vt:lpwstr>defa4170-0d19-0005-0004-bc88714345d2</vt:lpwstr>
  </property>
  <property fmtid="{D5CDD505-2E9C-101B-9397-08002B2CF9AE}" pid="6" name="MSIP_Label_f2dfecbd-fc97-4e8a-a9cd-19ed496c406e_SiteId">
    <vt:lpwstr>d47b090e-3f5a-4ca0-84d0-9f89d269f175</vt:lpwstr>
  </property>
  <property fmtid="{D5CDD505-2E9C-101B-9397-08002B2CF9AE}" pid="7" name="MSIP_Label_f2dfecbd-fc97-4e8a-a9cd-19ed496c406e_ActionId">
    <vt:lpwstr>9617af25-1a69-43c2-b7a4-1d9742693ec1</vt:lpwstr>
  </property>
  <property fmtid="{D5CDD505-2E9C-101B-9397-08002B2CF9AE}" pid="8" name="MSIP_Label_f2dfecbd-fc97-4e8a-a9cd-19ed496c406e_ContentBits">
    <vt:lpwstr>0</vt:lpwstr>
  </property>
</Properties>
</file>